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ov\Desktop\"/>
    </mc:Choice>
  </mc:AlternateContent>
  <xr:revisionPtr revIDLastSave="0" documentId="13_ncr:1_{A67571FC-07FA-46A4-85A3-813AFFFFAF3D}" xr6:coauthVersionLast="47" xr6:coauthVersionMax="47" xr10:uidLastSave="{00000000-0000-0000-0000-000000000000}"/>
  <bookViews>
    <workbookView xWindow="-120" yWindow="-120" windowWidth="29040" windowHeight="15840" tabRatio="500" activeTab="2" xr2:uid="{00000000-000D-0000-FFFF-FFFF00000000}"/>
  </bookViews>
  <sheets>
    <sheet name="P&amp;L to Budget" sheetId="1" r:id="rId1"/>
    <sheet name="Transaction Rpt by Date" sheetId="2" r:id="rId2"/>
    <sheet name="Profit_Loss Trans Rpt" sheetId="3" r:id="rId3"/>
    <sheet name="Journal Entries" sheetId="4" r:id="rId4"/>
    <sheet name=" Fund Balances" sheetId="5" r:id="rId5"/>
  </sheet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gPv7IpmTYiCznRcIw0S7wKKI8qlA=="/>
    </ext>
  </extLst>
</workbook>
</file>

<file path=xl/calcChain.xml><?xml version="1.0" encoding="utf-8"?>
<calcChain xmlns="http://schemas.openxmlformats.org/spreadsheetml/2006/main">
  <c r="F5" i="5" l="1"/>
  <c r="F7" i="5"/>
  <c r="F6" i="5"/>
  <c r="E15" i="5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30" i="3"/>
  <c r="B31" i="3"/>
  <c r="B32" i="3"/>
  <c r="B34" i="3"/>
  <c r="B35" i="3"/>
  <c r="B36" i="3"/>
  <c r="B38" i="3"/>
  <c r="B39" i="3"/>
  <c r="B40" i="3"/>
  <c r="B41" i="3"/>
  <c r="B43" i="3"/>
  <c r="B44" i="3"/>
  <c r="B45" i="3"/>
  <c r="B46" i="3"/>
  <c r="B47" i="3"/>
  <c r="B48" i="3"/>
  <c r="B49" i="3"/>
  <c r="B50" i="3"/>
  <c r="B52" i="3"/>
  <c r="B53" i="3"/>
  <c r="B54" i="3"/>
  <c r="B55" i="3"/>
  <c r="B59" i="3"/>
  <c r="B60" i="3"/>
  <c r="B61" i="3"/>
  <c r="B62" i="3"/>
  <c r="B64" i="3"/>
  <c r="B65" i="3"/>
  <c r="B67" i="3"/>
  <c r="B68" i="3"/>
  <c r="B69" i="3"/>
  <c r="B70" i="3"/>
  <c r="B71" i="3"/>
  <c r="B72" i="3"/>
  <c r="B73" i="3"/>
  <c r="B74" i="3"/>
  <c r="B75" i="3"/>
  <c r="B76" i="3"/>
  <c r="B77" i="3"/>
  <c r="B79" i="3"/>
  <c r="B80" i="3"/>
  <c r="B81" i="3"/>
  <c r="B82" i="3"/>
  <c r="B83" i="3"/>
  <c r="B85" i="3"/>
  <c r="B86" i="3"/>
  <c r="B87" i="3"/>
  <c r="B89" i="3"/>
  <c r="B90" i="3"/>
  <c r="B91" i="3"/>
  <c r="B92" i="3"/>
  <c r="B94" i="3"/>
  <c r="B95" i="3"/>
  <c r="B96" i="3"/>
  <c r="B97" i="3"/>
  <c r="B98" i="3"/>
  <c r="B99" i="3"/>
  <c r="B100" i="3"/>
  <c r="B101" i="3"/>
  <c r="B103" i="3"/>
  <c r="B104" i="3"/>
  <c r="B105" i="3"/>
  <c r="B106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8" i="3"/>
  <c r="B159" i="3"/>
  <c r="B160" i="3"/>
  <c r="B162" i="3"/>
  <c r="B163" i="3"/>
  <c r="B164" i="3"/>
  <c r="B166" i="3"/>
  <c r="B167" i="3"/>
  <c r="B168" i="3"/>
  <c r="B169" i="3"/>
  <c r="B170" i="3"/>
  <c r="B172" i="3"/>
  <c r="B173" i="3"/>
  <c r="B174" i="3"/>
  <c r="B176" i="3"/>
  <c r="B177" i="3"/>
  <c r="B180" i="3"/>
  <c r="B181" i="3"/>
  <c r="B182" i="3"/>
  <c r="B183" i="3"/>
  <c r="B184" i="3"/>
  <c r="B185" i="3"/>
  <c r="B186" i="3"/>
  <c r="B187" i="3"/>
  <c r="B188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4" i="3"/>
  <c r="B205" i="3"/>
  <c r="B206" i="3"/>
  <c r="B207" i="3"/>
  <c r="C9" i="1"/>
  <c r="C10" i="1"/>
  <c r="C11" i="1"/>
  <c r="C12" i="1"/>
  <c r="C13" i="1"/>
  <c r="C14" i="1"/>
  <c r="C15" i="1"/>
  <c r="C16" i="1"/>
  <c r="C17" i="1"/>
  <c r="C18" i="1"/>
  <c r="C19" i="1"/>
  <c r="C21" i="1"/>
  <c r="C22" i="1"/>
  <c r="C23" i="1"/>
  <c r="C25" i="1"/>
  <c r="C26" i="1"/>
  <c r="C27" i="1"/>
  <c r="C28" i="1"/>
  <c r="C29" i="1"/>
  <c r="C30" i="1"/>
  <c r="C31" i="1"/>
  <c r="C33" i="1"/>
  <c r="C34" i="1"/>
  <c r="C35" i="1"/>
  <c r="C36" i="1"/>
  <c r="C37" i="1"/>
  <c r="C39" i="1"/>
  <c r="C40" i="1"/>
  <c r="C41" i="1"/>
  <c r="C42" i="1"/>
  <c r="C43" i="1"/>
  <c r="C47" i="1"/>
  <c r="C48" i="1"/>
  <c r="C49" i="1"/>
  <c r="C50" i="1"/>
  <c r="C52" i="1"/>
  <c r="C53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9" i="1"/>
  <c r="C70" i="1"/>
  <c r="C71" i="1"/>
  <c r="C72" i="1"/>
  <c r="C73" i="1"/>
  <c r="C75" i="1"/>
  <c r="C76" i="1"/>
  <c r="C77" i="1"/>
  <c r="C79" i="1"/>
  <c r="C80" i="1"/>
  <c r="C81" i="1"/>
  <c r="C82" i="1"/>
  <c r="C84" i="1"/>
  <c r="C85" i="1"/>
  <c r="C86" i="1"/>
  <c r="C87" i="1"/>
  <c r="C88" i="1"/>
  <c r="C89" i="1"/>
  <c r="C90" i="1"/>
  <c r="C91" i="1"/>
  <c r="C93" i="1"/>
  <c r="C94" i="1"/>
  <c r="C95" i="1"/>
  <c r="C96" i="1"/>
  <c r="C97" i="1"/>
  <c r="C98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3" i="1"/>
  <c r="C154" i="1"/>
  <c r="C155" i="1"/>
  <c r="C157" i="1"/>
  <c r="C158" i="1"/>
  <c r="C159" i="1"/>
  <c r="C161" i="1"/>
  <c r="C162" i="1"/>
  <c r="C163" i="1"/>
  <c r="C164" i="1"/>
  <c r="C165" i="1"/>
  <c r="C167" i="1"/>
  <c r="C168" i="1"/>
  <c r="C169" i="1"/>
  <c r="C171" i="1"/>
  <c r="C172" i="1"/>
  <c r="C173" i="1"/>
  <c r="C174" i="1"/>
  <c r="C177" i="1"/>
  <c r="C178" i="1"/>
  <c r="C179" i="1"/>
  <c r="C180" i="1"/>
  <c r="C181" i="1"/>
  <c r="C182" i="1"/>
  <c r="C183" i="1"/>
  <c r="C184" i="1"/>
  <c r="C185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B9" i="1"/>
  <c r="B10" i="1"/>
  <c r="B11" i="1"/>
  <c r="B12" i="1"/>
  <c r="B13" i="1"/>
  <c r="B15" i="1"/>
  <c r="B17" i="1"/>
  <c r="B18" i="1"/>
  <c r="B19" i="1"/>
  <c r="B21" i="1"/>
  <c r="B22" i="1"/>
  <c r="B23" i="1"/>
  <c r="B26" i="1"/>
  <c r="B29" i="1"/>
  <c r="B31" i="1"/>
  <c r="B33" i="1"/>
  <c r="B34" i="1"/>
  <c r="B35" i="1"/>
  <c r="B36" i="1"/>
  <c r="B37" i="1"/>
  <c r="B39" i="1"/>
  <c r="B41" i="1"/>
  <c r="B42" i="1"/>
  <c r="B43" i="1"/>
  <c r="B47" i="1"/>
  <c r="B48" i="1"/>
  <c r="B49" i="1"/>
  <c r="B50" i="1"/>
  <c r="B52" i="1"/>
  <c r="B53" i="1"/>
  <c r="B55" i="1"/>
  <c r="B56" i="1"/>
  <c r="B57" i="1"/>
  <c r="B58" i="1"/>
  <c r="B59" i="1"/>
  <c r="B60" i="1"/>
  <c r="B61" i="1"/>
  <c r="B63" i="1"/>
  <c r="B64" i="1"/>
  <c r="B65" i="1"/>
  <c r="B67" i="1"/>
  <c r="B69" i="1"/>
  <c r="B70" i="1"/>
  <c r="B71" i="1"/>
  <c r="B72" i="1"/>
  <c r="B73" i="1"/>
  <c r="B75" i="1"/>
  <c r="B76" i="1"/>
  <c r="B77" i="1"/>
  <c r="B79" i="1"/>
  <c r="B80" i="1"/>
  <c r="B81" i="1"/>
  <c r="B82" i="1"/>
  <c r="B84" i="1"/>
  <c r="B85" i="1"/>
  <c r="B86" i="1"/>
  <c r="B87" i="1"/>
  <c r="B88" i="1"/>
  <c r="B89" i="1"/>
  <c r="B90" i="1"/>
  <c r="B91" i="1"/>
  <c r="B94" i="1"/>
  <c r="B95" i="1"/>
  <c r="B97" i="1"/>
  <c r="B98" i="1"/>
  <c r="B101" i="1"/>
  <c r="B102" i="1"/>
  <c r="B103" i="1"/>
  <c r="B104" i="1"/>
  <c r="B105" i="1"/>
  <c r="B106" i="1"/>
  <c r="B107" i="1"/>
  <c r="B108" i="1"/>
  <c r="B109" i="1"/>
  <c r="B110" i="1"/>
  <c r="B111" i="1"/>
  <c r="B114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8" i="1"/>
  <c r="B150" i="1"/>
  <c r="B151" i="1"/>
  <c r="B153" i="1"/>
  <c r="B154" i="1"/>
  <c r="B155" i="1"/>
  <c r="B157" i="1"/>
  <c r="B158" i="1"/>
  <c r="B159" i="1"/>
  <c r="B161" i="1"/>
  <c r="B162" i="1"/>
  <c r="B163" i="1"/>
  <c r="B164" i="1"/>
  <c r="B165" i="1"/>
  <c r="B167" i="1"/>
  <c r="B168" i="1"/>
  <c r="B169" i="1"/>
  <c r="B173" i="1"/>
  <c r="B174" i="1"/>
  <c r="B177" i="1"/>
  <c r="B178" i="1"/>
  <c r="B179" i="1"/>
  <c r="B180" i="1"/>
  <c r="B181" i="1"/>
  <c r="B182" i="1"/>
  <c r="B183" i="1"/>
  <c r="B184" i="1"/>
  <c r="B185" i="1"/>
  <c r="B187" i="1"/>
  <c r="B188" i="1"/>
  <c r="B189" i="1"/>
  <c r="B191" i="1"/>
  <c r="B192" i="1"/>
  <c r="B193" i="1"/>
  <c r="B194" i="1"/>
  <c r="B195" i="1"/>
  <c r="B196" i="1"/>
  <c r="B198" i="1"/>
  <c r="B199" i="1"/>
  <c r="B200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G8" i="5"/>
  <c r="F8" i="5"/>
  <c r="G24" i="5"/>
  <c r="G10" i="5"/>
  <c r="G11" i="5"/>
  <c r="G12" i="5"/>
  <c r="G13" i="5"/>
  <c r="F14" i="5"/>
  <c r="G14" i="5"/>
  <c r="G15" i="5"/>
  <c r="G16" i="5"/>
  <c r="G17" i="5"/>
  <c r="G18" i="5"/>
  <c r="G19" i="5"/>
  <c r="G20" i="5"/>
  <c r="G21" i="5"/>
  <c r="G22" i="5"/>
  <c r="G23" i="5"/>
  <c r="G25" i="5"/>
  <c r="G26" i="5"/>
  <c r="G27" i="5"/>
  <c r="G28" i="5"/>
</calcChain>
</file>

<file path=xl/sharedStrings.xml><?xml version="1.0" encoding="utf-8"?>
<sst xmlns="http://schemas.openxmlformats.org/spreadsheetml/2006/main" count="927" uniqueCount="436">
  <si>
    <t>Town of Conover</t>
  </si>
  <si>
    <t>Total</t>
  </si>
  <si>
    <t>Actual</t>
  </si>
  <si>
    <t>Budget</t>
  </si>
  <si>
    <t>% of Budget</t>
  </si>
  <si>
    <t>Income</t>
  </si>
  <si>
    <t xml:space="preserve">   43000 INTERGOVERNMENTAL REVENUE</t>
  </si>
  <si>
    <t xml:space="preserve">      43410 State Shared Revenues</t>
  </si>
  <si>
    <t xml:space="preserve">      43420 2% Fire Insurance Dues Refund</t>
  </si>
  <si>
    <t xml:space="preserve">      43529 Ambulance Aid - FAP</t>
  </si>
  <si>
    <t xml:space="preserve">      43531 General Transportation Aids</t>
  </si>
  <si>
    <t xml:space="preserve">      43630 Pilt On Forest Lands</t>
  </si>
  <si>
    <t xml:space="preserve">      43650 Forest Cropland Aids</t>
  </si>
  <si>
    <t xml:space="preserve">      43781 County Timber Sales</t>
  </si>
  <si>
    <t xml:space="preserve">      43790 Other Local Govt Grants</t>
  </si>
  <si>
    <t xml:space="preserve">   Total 43000 INTERGOVERNMENTAL REVENUE</t>
  </si>
  <si>
    <t xml:space="preserve">   44000 LICENSES AND PERMITS</t>
  </si>
  <si>
    <t xml:space="preserve">      44100 Liquor License</t>
  </si>
  <si>
    <t xml:space="preserve">      44300 Permit, Driveways, Inspection</t>
  </si>
  <si>
    <t xml:space="preserve">   Total 44000 LICENSES AND PERMITS</t>
  </si>
  <si>
    <t xml:space="preserve">   46000 PUBLIC CHARGES</t>
  </si>
  <si>
    <t xml:space="preserve">      46100 Gen Govt Chg-License Pub Fees</t>
  </si>
  <si>
    <t xml:space="preserve">      46310 Hwy &amp;  Street Maint &amp; Constr</t>
  </si>
  <si>
    <t xml:space="preserve">      46540 Cemetery Maint</t>
  </si>
  <si>
    <t xml:space="preserve">      46720 Park Rentals</t>
  </si>
  <si>
    <t xml:space="preserve">      46743 Conover Center Rental</t>
  </si>
  <si>
    <t xml:space="preserve">   Total 46000 PUBLIC CHARGES</t>
  </si>
  <si>
    <t xml:space="preserve">   48000 MISCELLANEOUS REVENUE</t>
  </si>
  <si>
    <t xml:space="preserve">      48110 Interest Income</t>
  </si>
  <si>
    <t xml:space="preserve">      48201 Post Office Lease</t>
  </si>
  <si>
    <t xml:space="preserve">   Total 48000 MISCELLANEOUS REVENUE</t>
  </si>
  <si>
    <t xml:space="preserve">   49000 TRANSFERS FROM OTHER FUNDS</t>
  </si>
  <si>
    <t xml:space="preserve">      49100 Proceeds From Debt</t>
  </si>
  <si>
    <t xml:space="preserve">      49104 Escrow Project Income</t>
  </si>
  <si>
    <t xml:space="preserve">   Total 49000 TRANSFERS FROM OTHER FUNDS</t>
  </si>
  <si>
    <t>Total Income</t>
  </si>
  <si>
    <t>Gross Profit</t>
  </si>
  <si>
    <t>Expenses</t>
  </si>
  <si>
    <t xml:space="preserve">   51000 GENERAL GOVERNMENT EXPENSE</t>
  </si>
  <si>
    <t xml:space="preserve">      51100 BOARD</t>
  </si>
  <si>
    <t xml:space="preserve">         5110001 Board Wages</t>
  </si>
  <si>
    <t xml:space="preserve">         5110028 Board Pubs/Subs/Dues</t>
  </si>
  <si>
    <t xml:space="preserve">         5119928 Board Misc Expense</t>
  </si>
  <si>
    <t xml:space="preserve">      Total 51100 BOARD</t>
  </si>
  <si>
    <t xml:space="preserve">      51300 LEGAL</t>
  </si>
  <si>
    <t xml:space="preserve">         5130011 Legal Contracted Services</t>
  </si>
  <si>
    <t xml:space="preserve">      Total 51300 LEGAL</t>
  </si>
  <si>
    <t xml:space="preserve">      51420 CLERK</t>
  </si>
  <si>
    <t xml:space="preserve">         5142001 Clerk Wages</t>
  </si>
  <si>
    <t xml:space="preserve">         5142003 Clerk Health Insurance</t>
  </si>
  <si>
    <t xml:space="preserve">         5142005 Clerk Retirement</t>
  </si>
  <si>
    <t xml:space="preserve">         5142020 Clerk Supply</t>
  </si>
  <si>
    <t xml:space="preserve">         5142021 Clerk Office Equip Maint</t>
  </si>
  <si>
    <t xml:space="preserve">         5142022 CLERK Internet &amp; Phone</t>
  </si>
  <si>
    <t xml:space="preserve">         5142025 Clerk Mileage</t>
  </si>
  <si>
    <t xml:space="preserve">         5142026 Clerk Postage &amp; Copying</t>
  </si>
  <si>
    <t xml:space="preserve">         5142028 Clerk Pubs/Subs/Dues</t>
  </si>
  <si>
    <t xml:space="preserve">         5142051 Clerk Copier Lease</t>
  </si>
  <si>
    <t xml:space="preserve">         5142081 Clerk Public Officials Bond</t>
  </si>
  <si>
    <t xml:space="preserve">      Total 51420 CLERK</t>
  </si>
  <si>
    <t xml:space="preserve">      51440 ELECTION</t>
  </si>
  <si>
    <t xml:space="preserve">         5144001 Election Wages</t>
  </si>
  <si>
    <t xml:space="preserve">         5144010 Election Inservices</t>
  </si>
  <si>
    <t xml:space="preserve">         5144028 Election Publications</t>
  </si>
  <si>
    <t xml:space="preserve">         5144099 Election - Other</t>
  </si>
  <si>
    <t xml:space="preserve">      Total 51440 ELECTION</t>
  </si>
  <si>
    <t xml:space="preserve">      51520 TREASURER/Auditor</t>
  </si>
  <si>
    <t xml:space="preserve">         5152011 Treasurer Audit &amp; Accting</t>
  </si>
  <si>
    <t xml:space="preserve">         5152012 Treasurer Audit/Accounting</t>
  </si>
  <si>
    <t xml:space="preserve">      Total 51520 TREASURER/Auditor</t>
  </si>
  <si>
    <t xml:space="preserve">      51530 ASSESSOR</t>
  </si>
  <si>
    <t xml:space="preserve">         5153011 Assessor Contract</t>
  </si>
  <si>
    <t xml:space="preserve">         5153021 Board of Review Exp/Pub</t>
  </si>
  <si>
    <t xml:space="preserve">         5153091 Assessor Board Of Review</t>
  </si>
  <si>
    <t xml:space="preserve">      Total 51530 ASSESSOR</t>
  </si>
  <si>
    <t xml:space="preserve">      51600 TOWN HALL</t>
  </si>
  <si>
    <t xml:space="preserve">         5160015 Contract Services (Janitorial)</t>
  </si>
  <si>
    <t xml:space="preserve">         5160020 Town Hall Supplies</t>
  </si>
  <si>
    <t xml:space="preserve">         5160021 Town Hall Repairs</t>
  </si>
  <si>
    <t xml:space="preserve">         5160022 Town Hall Utilities</t>
  </si>
  <si>
    <t xml:space="preserve">         5160023 Town Hall - Other and Garbage Pick Up</t>
  </si>
  <si>
    <t xml:space="preserve">         5160030 Community Center Contract Services</t>
  </si>
  <si>
    <t xml:space="preserve">         5160031 Community Center Utilities</t>
  </si>
  <si>
    <t xml:space="preserve">      Total 51600 TOWN HALL</t>
  </si>
  <si>
    <t xml:space="preserve">      51900 OTHER GENERAL GOVERNMENT</t>
  </si>
  <si>
    <t xml:space="preserve">         5193806 Unempoyment Insurance</t>
  </si>
  <si>
    <t xml:space="preserve">         5193807 Worker's Comp Insurance</t>
  </si>
  <si>
    <t xml:space="preserve">         5193881 General Liability Insurance</t>
  </si>
  <si>
    <t xml:space="preserve">         5193882 EMS/CFD Firefighter Ins (WSFFA)</t>
  </si>
  <si>
    <t xml:space="preserve">      Total 51900 OTHER GENERAL GOVERNMENT</t>
  </si>
  <si>
    <t xml:space="preserve">   Total 51000 GENERAL GOVERNMENT EXPENSE</t>
  </si>
  <si>
    <t xml:space="preserve">   52000 PUBLIC SAFETY EXPENSES</t>
  </si>
  <si>
    <t xml:space="preserve">      52200 FIRE PROTECTION</t>
  </si>
  <si>
    <t xml:space="preserve">         5220001 Fire Prot Wages</t>
  </si>
  <si>
    <t xml:space="preserve">         5220003 Fire Insurance Retirement/Recognition</t>
  </si>
  <si>
    <t xml:space="preserve">         5220010 Fire Prot Training/Misc/Shots</t>
  </si>
  <si>
    <t xml:space="preserve">         5220011 Fire Inspector</t>
  </si>
  <si>
    <t xml:space="preserve">         5220020 Fire Prot Supplies</t>
  </si>
  <si>
    <t xml:space="preserve">         5220021 Fire Prot Maint</t>
  </si>
  <si>
    <t xml:space="preserve">         5220022 Fire Prot Utilities</t>
  </si>
  <si>
    <t xml:space="preserve">         5220023 50% INTERNET ACCESS</t>
  </si>
  <si>
    <t xml:space="preserve">         5220024 LifeQuest Fees - Fire Dept</t>
  </si>
  <si>
    <t xml:space="preserve">         5220032 Fire Prot Gas/Oil/Grease</t>
  </si>
  <si>
    <t xml:space="preserve">         5220090 Fire Prot 2% Fire Dues Supplies</t>
  </si>
  <si>
    <t xml:space="preserve">         5220092 Fire Prot Page Calls</t>
  </si>
  <si>
    <t xml:space="preserve">         57220 Fire Protection Capital Outlay (SCBAs)</t>
  </si>
  <si>
    <t xml:space="preserve">      Total 52200 FIRE PROTECTION</t>
  </si>
  <si>
    <t xml:space="preserve">      52300 AMBULANCE</t>
  </si>
  <si>
    <t xml:space="preserve">         5230001 Ambulance Operating Expense</t>
  </si>
  <si>
    <t xml:space="preserve">         5230002 WAGES - SALARY</t>
  </si>
  <si>
    <t xml:space="preserve">         5230005 SUPPLY-SHOTS</t>
  </si>
  <si>
    <t xml:space="preserve">         5230006 EQPT-RADIOS-UNIFORMS</t>
  </si>
  <si>
    <t xml:space="preserve">         5230007 LifeQuest  BILLING &amp; EXPENSE</t>
  </si>
  <si>
    <t xml:space="preserve">         5230009 AMB 50% NTERNET ACCESS</t>
  </si>
  <si>
    <t xml:space="preserve">         5230010 UTILITIES - HEAT - ELECTRIC</t>
  </si>
  <si>
    <t xml:space="preserve">         5230011 FUEL EXPENSE</t>
  </si>
  <si>
    <t xml:space="preserve">         5230012 FAP Award Training Aids</t>
  </si>
  <si>
    <t xml:space="preserve">         5230013 FAP Award EMT Basic Training</t>
  </si>
  <si>
    <t xml:space="preserve">      Total 52300 AMBULANCE</t>
  </si>
  <si>
    <t xml:space="preserve">   Total 52000 PUBLIC SAFETY EXPENSES</t>
  </si>
  <si>
    <t xml:space="preserve">   53000 PUBLIC WORKS EXPENSE</t>
  </si>
  <si>
    <t xml:space="preserve">      53311 HIGHWAY MAINTENANCE</t>
  </si>
  <si>
    <t xml:space="preserve">         5331100 Public Works Director</t>
  </si>
  <si>
    <t xml:space="preserve">         5331101 Highway Maint Wages</t>
  </si>
  <si>
    <t xml:space="preserve">         5331102 Highway Overtime Wages</t>
  </si>
  <si>
    <t xml:space="preserve">         5331103 Highway Retirement</t>
  </si>
  <si>
    <t xml:space="preserve">         5331104 Highway Health Insurance</t>
  </si>
  <si>
    <t xml:space="preserve">         5331107 Garage Utilities</t>
  </si>
  <si>
    <t xml:space="preserve">         5331120 Garage Supplies</t>
  </si>
  <si>
    <t xml:space="preserve">         5331127 Garage Phone</t>
  </si>
  <si>
    <t xml:space="preserve">         5331132 Gas/Oil/Grease</t>
  </si>
  <si>
    <t xml:space="preserve">      Total 53311 HIGHWAY MAINTENANCE</t>
  </si>
  <si>
    <t xml:space="preserve">      533315 Hwy and Street Construction</t>
  </si>
  <si>
    <t xml:space="preserve">         5331133 Salt, Sand &amp; Snow Removal</t>
  </si>
  <si>
    <t xml:space="preserve">         5331135 Road Signs</t>
  </si>
  <si>
    <t xml:space="preserve">         5331136 Highway Gravel</t>
  </si>
  <si>
    <t xml:space="preserve">         5331142 Road Repairs</t>
  </si>
  <si>
    <t xml:space="preserve">         5331143 Highway Equipment</t>
  </si>
  <si>
    <t xml:space="preserve">         5331150 Machine, Tool &amp; Equip Rent</t>
  </si>
  <si>
    <t xml:space="preserve">         57333 Asphalt/Crack/Patch</t>
  </si>
  <si>
    <t xml:space="preserve">      Total 533315 Hwy and Street Construction</t>
  </si>
  <si>
    <t xml:space="preserve">      53620 REFUSE &amp; GARBAGE COLL</t>
  </si>
  <si>
    <t xml:space="preserve">         5362003 Transfer Utilities (elec)</t>
  </si>
  <si>
    <t xml:space="preserve">      Total 53620 REFUSE &amp; GARBAGE COLL</t>
  </si>
  <si>
    <t xml:space="preserve">   Total 53000 PUBLIC WORKS EXPENSE</t>
  </si>
  <si>
    <t xml:space="preserve">   54000 HEALTH &amp; HUMAN SERVICES</t>
  </si>
  <si>
    <t xml:space="preserve">      54100 Animal Control Expense</t>
  </si>
  <si>
    <t xml:space="preserve">      5491099 Cemetery - Other</t>
  </si>
  <si>
    <t xml:space="preserve">   Total 54000 HEALTH &amp; HUMAN SERVICES</t>
  </si>
  <si>
    <t xml:space="preserve">   55000 CULTURE, REC &amp; ED EXPENSE</t>
  </si>
  <si>
    <t xml:space="preserve">      55110 Library Expense</t>
  </si>
  <si>
    <t xml:space="preserve">      5520021 Parks Expense - repairs/mowing/utilities</t>
  </si>
  <si>
    <t xml:space="preserve">      5520024 Park Improvements</t>
  </si>
  <si>
    <t xml:space="preserve">   Total 55000 CULTURE, REC &amp; ED EXPENSE</t>
  </si>
  <si>
    <t xml:space="preserve">   56000 CONSERVATION &amp; DEV EXPENSE</t>
  </si>
  <si>
    <t xml:space="preserve">      5670090 Chamber Of Commerce</t>
  </si>
  <si>
    <t xml:space="preserve">      5670092 Tourist Info Center</t>
  </si>
  <si>
    <t xml:space="preserve">   Total 56000 CONSERVATION &amp; DEV EXPENSE</t>
  </si>
  <si>
    <t xml:space="preserve">   57000 CAPITAL OUTLAY</t>
  </si>
  <si>
    <t xml:space="preserve">      57140 Conover Center Outlay</t>
  </si>
  <si>
    <t xml:space="preserve">      57190 Off Equip/Assisted PR/Clerk Dep</t>
  </si>
  <si>
    <t xml:space="preserve">      57324 Highway Equipment &amp; Repairs Outlay</t>
  </si>
  <si>
    <t xml:space="preserve">   Total 57000 CAPITAL OUTLAY</t>
  </si>
  <si>
    <t xml:space="preserve">   58000 DEBT SERVICE</t>
  </si>
  <si>
    <t xml:space="preserve">      58100 PRINCIPAL</t>
  </si>
  <si>
    <t xml:space="preserve">         5810084 Lease 98690 John Deere Tractor</t>
  </si>
  <si>
    <t xml:space="preserve">      Total 58100 PRINCIPAL</t>
  </si>
  <si>
    <t xml:space="preserve">      58221 INTEREST</t>
  </si>
  <si>
    <t xml:space="preserve">         5822172 Lease 98690 John Deere Backhoe</t>
  </si>
  <si>
    <t xml:space="preserve">         5822174 Interest - Salt Shed</t>
  </si>
  <si>
    <t xml:space="preserve">         5822176 Interest - Grader</t>
  </si>
  <si>
    <t xml:space="preserve">         5822179 Interest - Twin Lake</t>
  </si>
  <si>
    <t xml:space="preserve">      Total 58221 INTEREST</t>
  </si>
  <si>
    <t xml:space="preserve">   Total 58000 DEBT SERVICE</t>
  </si>
  <si>
    <t>Total Expenses</t>
  </si>
  <si>
    <t>Net Operating Income</t>
  </si>
  <si>
    <t>Net Income</t>
  </si>
  <si>
    <t>Transaction List by Date</t>
  </si>
  <si>
    <t>Date</t>
  </si>
  <si>
    <t>Transaction Type</t>
  </si>
  <si>
    <t>Num</t>
  </si>
  <si>
    <t>Name</t>
  </si>
  <si>
    <t>Memo/Description</t>
  </si>
  <si>
    <t>Split</t>
  </si>
  <si>
    <t>Amount</t>
  </si>
  <si>
    <t>Deposit</t>
  </si>
  <si>
    <t>-Split-</t>
  </si>
  <si>
    <t>Check</t>
  </si>
  <si>
    <t>5331120 PUBLIC WORKS EXPENSE:HIGHWAY MAINTENANCE:Garage Supplies</t>
  </si>
  <si>
    <t>Frontier</t>
  </si>
  <si>
    <t>HICKS ENTERPRISES, LLC</t>
  </si>
  <si>
    <t>5331132 PUBLIC WORKS EXPENSE:HIGHWAY MAINTENANCE:Gas/Oil/Grease</t>
  </si>
  <si>
    <t>5142028 GENERAL GOVERNMENT EXPENSE:CLERK:Clerk Pubs/Subs/Dues</t>
  </si>
  <si>
    <t>Operating Engineers Local 139 Benefit Funds</t>
  </si>
  <si>
    <t>Aramark Uniform Services</t>
  </si>
  <si>
    <t>DD</t>
  </si>
  <si>
    <t>John H. Barnekow</t>
  </si>
  <si>
    <t>Robert Cline</t>
  </si>
  <si>
    <t>Troy Ernst{EE1}</t>
  </si>
  <si>
    <t>Kevin Hartman</t>
  </si>
  <si>
    <t>Curt S. Hayden</t>
  </si>
  <si>
    <t>Kendra L Lederer</t>
  </si>
  <si>
    <t>Airgas USA, LLC</t>
  </si>
  <si>
    <t>IRS</t>
  </si>
  <si>
    <t>21100 Payroll Liabilities-Federal</t>
  </si>
  <si>
    <t>Jensen-Akins Inc.</t>
  </si>
  <si>
    <t>George Champeny</t>
  </si>
  <si>
    <t>Karl Jennrich</t>
  </si>
  <si>
    <t>Chad M Lederer</t>
  </si>
  <si>
    <t>Dale R Mayo</t>
  </si>
  <si>
    <t>Holly M Moshinski</t>
  </si>
  <si>
    <t>WI Department of Revenue</t>
  </si>
  <si>
    <t>21110 Payroll Liabilities-State</t>
  </si>
  <si>
    <t>5230009 PUBLIC SAFETY EXPENSES:AMBULANCE:AMB 50% NTERNET ACCESS</t>
  </si>
  <si>
    <t>INTEREST</t>
  </si>
  <si>
    <t>Interest Earned</t>
  </si>
  <si>
    <t>48110 MISCELLANEOUS REVENUE:Interest Income</t>
  </si>
  <si>
    <t>Service Charge</t>
  </si>
  <si>
    <t>Profit and Loss</t>
  </si>
  <si>
    <t>Journal Entries</t>
  </si>
  <si>
    <t>None</t>
  </si>
  <si>
    <t>Assigned Fund Balances</t>
  </si>
  <si>
    <t>Interest Earned YTD:  River Valley Checking:</t>
  </si>
  <si>
    <t>Interest Earned YTD:  Designated Funds:</t>
  </si>
  <si>
    <t>Interest Earned YTD:  Tax Account:</t>
  </si>
  <si>
    <t>RVB Total Funds</t>
  </si>
  <si>
    <t>Designated Fund Balances</t>
  </si>
  <si>
    <t>RVB Designated Acct - Election-Voter Equip: Exp Acct 57190</t>
  </si>
  <si>
    <t>RVB Designated Acct - Ambulance FAP Training Funds</t>
  </si>
  <si>
    <t>RVB Designated Acct - Conover Park/Rec Donations: Income Acct 48500</t>
  </si>
  <si>
    <t>RVB Designated Acct - Ambulance Sinking Fund: Exp Acct 5723099</t>
  </si>
  <si>
    <t>RVB Designated Acct - CP Donations: 48500 Inc Acct</t>
  </si>
  <si>
    <t>RVB Designated Acct - Highway Accumulated Sick Hours</t>
  </si>
  <si>
    <t>RVB Designated Acct - Highway Gravel (exp account 5331136)</t>
  </si>
  <si>
    <t>RVB Designated Acct - Culverts - Bridges: Inc Acct: 49014, Exp Acct: 57888</t>
  </si>
  <si>
    <t>RVB Designated Acct - Bike Trail Maintenance: Exp Acct:  5520023</t>
  </si>
  <si>
    <t>RVB Designated Acct - Contingency Fund: Exp Acct 57900</t>
  </si>
  <si>
    <t>RVB Designated Acct - FD Eqpt &amp; Misc Expense: SCBAs: 5722062 Expense Acct.</t>
  </si>
  <si>
    <t>RVB Designated Acct - FD Tanker Sinking Fund: Exp Acct 5722060</t>
  </si>
  <si>
    <t>Total Assigned Funds Balance :</t>
  </si>
  <si>
    <t xml:space="preserve"> </t>
  </si>
  <si>
    <t xml:space="preserve">      43660 Pilt-State Conservation Land</t>
  </si>
  <si>
    <t xml:space="preserve">         5331121 Highway Equipment Repairs</t>
  </si>
  <si>
    <t xml:space="preserve">         5331122 Union Dues</t>
  </si>
  <si>
    <t>5160023 GENERAL GOVERNMENT EXPENSE:TOWN HALL:Town Hall - Other and Garbage Pick Up</t>
  </si>
  <si>
    <t>WE Energies</t>
  </si>
  <si>
    <t>Jennifer L. Steiner</t>
  </si>
  <si>
    <t xml:space="preserve">      53420 Street Lighting</t>
  </si>
  <si>
    <t>RVB Designated Acct - Park Shelter Sinking Fund: Exp Acct 57620</t>
  </si>
  <si>
    <t>RVB Designated Acct - Park Renovations: Exp Acct:  5520024</t>
  </si>
  <si>
    <t>Joseph J Muehlbach</t>
  </si>
  <si>
    <t xml:space="preserve">      46230 Ambulance/EMS Fees</t>
  </si>
  <si>
    <t xml:space="preserve">      48900 Other Income/Misc Revenues</t>
  </si>
  <si>
    <t>Transfer</t>
  </si>
  <si>
    <t>Republic Services</t>
  </si>
  <si>
    <t>5230001 PUBLIC SAFETY EXPENSES:AMBULANCE:Ambulance Operating Expense</t>
  </si>
  <si>
    <t xml:space="preserve">   6560</t>
  </si>
  <si>
    <t>5331121 PUBLIC WORKS EXPENSE:HIGHWAY MAINTENANCE:Highway Equipment Repairs</t>
  </si>
  <si>
    <t>SVCCHRG</t>
  </si>
  <si>
    <t>Vilas County News-Review</t>
  </si>
  <si>
    <t>Diane Price</t>
  </si>
  <si>
    <t xml:space="preserve">      43710 Grants - Hwy and Bridges LRIP</t>
  </si>
  <si>
    <t xml:space="preserve">         5810086 Dumptruck</t>
  </si>
  <si>
    <t>AUTO VALUE</t>
  </si>
  <si>
    <t>Billie Jo j Ernst</t>
  </si>
  <si>
    <t>RVB Designated Acct - Conover Center Handicap Assessibility</t>
  </si>
  <si>
    <t>RVB Designated Acct - R2R Funds</t>
  </si>
  <si>
    <t>RVB Designated Acct - Highway Maintenance for Future</t>
  </si>
  <si>
    <t>2021 remainder funds</t>
  </si>
  <si>
    <t>FAP funds</t>
  </si>
  <si>
    <t xml:space="preserve">Budget vs. Actuals: Budget Fiscal 2022 - FY22 P&amp;L </t>
  </si>
  <si>
    <t>January - December 2022</t>
  </si>
  <si>
    <t xml:space="preserve">         5810071 Park Pavillion</t>
  </si>
  <si>
    <t xml:space="preserve">         5810076 Rummels Road</t>
  </si>
  <si>
    <t xml:space="preserve">         5810077 Buckatabon</t>
  </si>
  <si>
    <t xml:space="preserve">         5822173 INTEREST - Park Pavillion</t>
  </si>
  <si>
    <t xml:space="preserve">         5822175 Interest - 2017028.01 Hwy Projects BCPL</t>
  </si>
  <si>
    <t xml:space="preserve">         5822177 Interest - Rummels Road</t>
  </si>
  <si>
    <t xml:space="preserve">         5822178 Interest - Buckatabon</t>
  </si>
  <si>
    <t xml:space="preserve">   6560 Payroll Expenses</t>
  </si>
  <si>
    <t>David Halverson</t>
  </si>
  <si>
    <t>5331122 PUBLIC WORKS EXPENSE:HIGHWAY MAINTENANCE:Union Dues</t>
  </si>
  <si>
    <t xml:space="preserve">         5142010 Clerk Workshops</t>
  </si>
  <si>
    <t xml:space="preserve">      5520022 Lake Committee</t>
  </si>
  <si>
    <t xml:space="preserve">         5810073 Salt Shed</t>
  </si>
  <si>
    <t xml:space="preserve">         5810075 Grader</t>
  </si>
  <si>
    <t xml:space="preserve">         5810078 Twin Lake</t>
  </si>
  <si>
    <t xml:space="preserve">      48430 Insurance Recovery</t>
  </si>
  <si>
    <t>O'Brien, Anderson,Burgy, Garbowicz &amp;</t>
  </si>
  <si>
    <t>Legal counsel</t>
  </si>
  <si>
    <t>5130011 GENERAL GOVERNMENT EXPENSE:LEGAL:Legal Contracted Services</t>
  </si>
  <si>
    <t>Park expenditures</t>
  </si>
  <si>
    <t>RVB Designated Acct - Ambulance FAP Support and Improvement</t>
  </si>
  <si>
    <t>PUBLIC WORKS EXPENSE:HIGHWAY MAINTENANCE:Garage-Phone</t>
  </si>
  <si>
    <t>William R Hogenmiller</t>
  </si>
  <si>
    <t xml:space="preserve">         Garage-Phone</t>
  </si>
  <si>
    <t>3K reserved for speakers</t>
  </si>
  <si>
    <t>ON COURSE YARD CARE</t>
  </si>
  <si>
    <t>5220022 PUBLIC SAFETY EXPENSES:FIRE PROTECTION:Fire Prot Utilities</t>
  </si>
  <si>
    <t>5670092 CONSERVATION &amp; DEV EXPENSE:Tourist Info Center</t>
  </si>
  <si>
    <t>Robert W Martinson Jr</t>
  </si>
  <si>
    <t>5142022 GENERAL GOVERNMENT EXPENSE:CLERK:CLERK Internet &amp; Phone</t>
  </si>
  <si>
    <t>FABICK CAT</t>
  </si>
  <si>
    <t>Town of Conover Books</t>
  </si>
  <si>
    <t xml:space="preserve">  Expenses  </t>
  </si>
  <si>
    <t xml:space="preserve">  Income  </t>
  </si>
  <si>
    <t xml:space="preserve">   Balance  </t>
  </si>
  <si>
    <t xml:space="preserve">  2022 Expenses  </t>
  </si>
  <si>
    <t xml:space="preserve">  2022 Income  </t>
  </si>
  <si>
    <t xml:space="preserve">  Balance  </t>
  </si>
  <si>
    <t>September 2022</t>
  </si>
  <si>
    <t>BAM TOOLS</t>
  </si>
  <si>
    <t>Rural Mutual Insurance Company</t>
  </si>
  <si>
    <t>I-State Truck Center</t>
  </si>
  <si>
    <t>Maddie E Indermuehle</t>
  </si>
  <si>
    <t>Robin G Indermuehle</t>
  </si>
  <si>
    <t>Other Expenses</t>
  </si>
  <si>
    <t xml:space="preserve">   Reconciliation Discrepancies-1</t>
  </si>
  <si>
    <t>Total Other Expenses</t>
  </si>
  <si>
    <t>Net Other Income</t>
  </si>
  <si>
    <t>Tuesday, Nov 01, 2022 08:30:33 AM GMT-7 - Cash Basis</t>
  </si>
  <si>
    <t>October 2022</t>
  </si>
  <si>
    <t>10/04/2022</t>
  </si>
  <si>
    <t>Invoice #9130438624
Oxygen exchange</t>
  </si>
  <si>
    <t>Inv # 56888, 56811</t>
  </si>
  <si>
    <t>Brenda Timken</t>
  </si>
  <si>
    <t>Landscape Plants</t>
  </si>
  <si>
    <t>5520021 CULTURE, REC &amp; ED EXPENSE:Parks Expense - repairs/mowing/utilities</t>
  </si>
  <si>
    <t>invoice #6260054616, 6260052593</t>
  </si>
  <si>
    <t>Bill for 8/23/22 - 9/14/22</t>
  </si>
  <si>
    <t>Group Bill For September 2022</t>
  </si>
  <si>
    <t>Acct.# 00000264
Board of Review, Open Book</t>
  </si>
  <si>
    <t>5153021 GENERAL GOVERNMENT EXPENSE:ASSESSOR:Board of Review Exp/Pub</t>
  </si>
  <si>
    <t>Phone and Internet 
9/22/22 - 10/21/22</t>
  </si>
  <si>
    <t>Phone and Internet 
9/28/22 - 10/27/22</t>
  </si>
  <si>
    <t>U.S. Postal Service</t>
  </si>
  <si>
    <t>P.O. Box Renewal</t>
  </si>
  <si>
    <t>Workers Comp and Business Owners Ins.
11/01/22 - 11/01/23</t>
  </si>
  <si>
    <t>acct.# 185
September 2022 Statement</t>
  </si>
  <si>
    <t>John, Curt, Troy, Kendra union dues for November 2022</t>
  </si>
  <si>
    <t>Pitlik &amp; Wick Inc.</t>
  </si>
  <si>
    <t>Invoice #600912</t>
  </si>
  <si>
    <t>5331142 PUBLIC WORKS EXPENSE:Hwy and Street Construction:Road Repairs</t>
  </si>
  <si>
    <t>10/05/2022</t>
  </si>
  <si>
    <t>Tax Payment for Period: 09/28/2022-09/30/2022</t>
  </si>
  <si>
    <t>10/06/2022</t>
  </si>
  <si>
    <t>Jeff Barnekow</t>
  </si>
  <si>
    <t>Reimburse Purchase for FD</t>
  </si>
  <si>
    <t>5220010 PUBLIC SAFETY EXPENSES:FIRE PROTECTION:Fire Prot Training/Misc/Shots</t>
  </si>
  <si>
    <t>ACH</t>
  </si>
  <si>
    <t>Health Insurance September  2022</t>
  </si>
  <si>
    <t>Pension September 2022</t>
  </si>
  <si>
    <t>10/07/2022</t>
  </si>
  <si>
    <t>Kimberly A Rauscher</t>
  </si>
  <si>
    <t>Pay Period: 10/07/2022-10/07/2022</t>
  </si>
  <si>
    <t>10/11/2022</t>
  </si>
  <si>
    <t>10/12/2022</t>
  </si>
  <si>
    <t>Pay Period: 09/25/2022-10/08/2022</t>
  </si>
  <si>
    <t>10/13/2022</t>
  </si>
  <si>
    <t>Invoice</t>
  </si>
  <si>
    <t>USPS</t>
  </si>
  <si>
    <t>Invoice # PIWA0105007</t>
  </si>
  <si>
    <t>Inv # 56968</t>
  </si>
  <si>
    <t>Invoice #9991421067</t>
  </si>
  <si>
    <t>Processing Fee 2x $100</t>
  </si>
  <si>
    <t>5331103 PUBLIC WORKS EXPENSE:HIGHWAY MAINTENANCE:Highway Retirement</t>
  </si>
  <si>
    <t>Invoice # 35548</t>
  </si>
  <si>
    <t>dominion voting</t>
  </si>
  <si>
    <t>Invoice #DVS146552
Preventative Maintenance Election Machine</t>
  </si>
  <si>
    <t>5144099 GENERAL GOVERNMENT EXPENSE:ELECTION:Election - Other</t>
  </si>
  <si>
    <t>Midwest Fire</t>
  </si>
  <si>
    <t>Chassis for  Fire Tender</t>
  </si>
  <si>
    <t>57324 CAPITAL OUTLAY:Highway Equipment &amp; Repairs Outlay</t>
  </si>
  <si>
    <t>Invoice #0645-000172931</t>
  </si>
  <si>
    <t>Vilas County Highway Department</t>
  </si>
  <si>
    <t>Salt, Deer Removal Program, Beaver Program</t>
  </si>
  <si>
    <t>Cover FD Chassis</t>
  </si>
  <si>
    <t>11101 RVB Checking</t>
  </si>
  <si>
    <t>43531 INTERGOVERNMENTAL REVENUE:General Transportation Aids</t>
  </si>
  <si>
    <t>10/14/2022</t>
  </si>
  <si>
    <t>Pay Period: 10/01/2022-10/31/2022</t>
  </si>
  <si>
    <t>10/18/2022</t>
  </si>
  <si>
    <t>Expense</t>
  </si>
  <si>
    <t>per bank statement</t>
  </si>
  <si>
    <t>10/19/2022</t>
  </si>
  <si>
    <t>Tax Payment for Period: 10/12/2022-10/14/2022</t>
  </si>
  <si>
    <t>10/25/2022</t>
  </si>
  <si>
    <t>TJ Grizzlies</t>
  </si>
  <si>
    <t>BOR Dinner</t>
  </si>
  <si>
    <t>5119928 GENERAL GOVERNMENT EXPENSE:BOARD:Board Misc Expense</t>
  </si>
  <si>
    <t>10/26/2022</t>
  </si>
  <si>
    <t>Pay Period: 10/09/2022-10/22/2022</t>
  </si>
  <si>
    <t>10/27/2022</t>
  </si>
  <si>
    <t>Boones Building Supply</t>
  </si>
  <si>
    <t>Mesh for Playground
Statement 2210-039272</t>
  </si>
  <si>
    <t>5520024 CULTURE, REC &amp; ED EXPENSE:Park Improvements</t>
  </si>
  <si>
    <t>Rent-A-Flash</t>
  </si>
  <si>
    <t>Inv #82755
Fire #'s, post, road signs for Rush Rd and Katie Ln</t>
  </si>
  <si>
    <t>5331135 PUBLIC WORKS EXPENSE:Hwy and Street Construction:Road Signs</t>
  </si>
  <si>
    <t>Verizon Wireless</t>
  </si>
  <si>
    <t>jet pack wireless
invoice# 9917836850</t>
  </si>
  <si>
    <t>Invoice #C271103082:01</t>
  </si>
  <si>
    <t>Inv # 57140</t>
  </si>
  <si>
    <t>Phone and Internet 
10/10/22 - 11/9/22</t>
  </si>
  <si>
    <t>invoice #6260058558, 6260061070, 6260062953</t>
  </si>
  <si>
    <t>L&amp;C Heating and Cooling</t>
  </si>
  <si>
    <t>Pavilion HVAC Update 
Completion Payment</t>
  </si>
  <si>
    <t>Bill for 9/23/22 - 10/23/22</t>
  </si>
  <si>
    <t>Payment</t>
  </si>
  <si>
    <t>1200 Accounts Receivable</t>
  </si>
  <si>
    <t>10/31/2022</t>
  </si>
  <si>
    <t>Tuesday, Nov 01, 2022 08:32:31 AM GMT-7</t>
  </si>
  <si>
    <t>January 1 - November 1, 2022</t>
  </si>
  <si>
    <t xml:space="preserve">   40000 PROPERTY TAXES</t>
  </si>
  <si>
    <t xml:space="preserve">      40001 PROPERTY TAX COLLECTIONS</t>
  </si>
  <si>
    <t xml:space="preserve">         40005 Adv Tax Collections From Dec</t>
  </si>
  <si>
    <t xml:space="preserve">         40010 January Tax Collections</t>
  </si>
  <si>
    <t xml:space="preserve">         40015 LAKE DIST - SPEC. CHG</t>
  </si>
  <si>
    <t xml:space="preserve">         40030 Lottery Credit</t>
  </si>
  <si>
    <t xml:space="preserve">         40040 Dog License Collections</t>
  </si>
  <si>
    <t xml:space="preserve">         40045 Tax Settlement From County</t>
  </si>
  <si>
    <t xml:space="preserve">         41150 Private Forest Cropland</t>
  </si>
  <si>
    <t xml:space="preserve">         48901 Tax Overpayments</t>
  </si>
  <si>
    <t xml:space="preserve">      Total 40001 PROPERTY TAX COLLECTIONS</t>
  </si>
  <si>
    <t xml:space="preserve">      50000 TAX SETTLEMENTS PAID TO OTHERS</t>
  </si>
  <si>
    <t xml:space="preserve">         50030 Property Tax Paid To VTAE</t>
  </si>
  <si>
    <t xml:space="preserve">         50050 Spec Assessmnts And Chgs</t>
  </si>
  <si>
    <t xml:space="preserve">      Total 50000 TAX SETTLEMENTS PAID TO OTHERS</t>
  </si>
  <si>
    <t xml:space="preserve">   Total 40000 PROPERTY TAXES</t>
  </si>
  <si>
    <t xml:space="preserve">      46220 Fire Protection Fees</t>
  </si>
  <si>
    <t xml:space="preserve">      48500 Donations From Private Organizations</t>
  </si>
  <si>
    <t xml:space="preserve">      48905 Post Office Heating Allocation</t>
  </si>
  <si>
    <t xml:space="preserve">      48906 Post Office Electric Metering</t>
  </si>
  <si>
    <t xml:space="preserve">   Town Hall Supplies</t>
  </si>
  <si>
    <t>Tuesday, Nov 01, 2022 08:34:22 AM GMT-7 - Cash Basis</t>
  </si>
  <si>
    <t xml:space="preserve">                                         as of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</si>
</sst>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18" x14ac:knownFonts="1">
    <font>
      <sz val="11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11"/>
      <color rgb="FF000000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11"/>
      <color rgb="FF000000"/>
      <name val="Calibri"/>
    </font>
    <font>
      <i/>
      <sz val="11"/>
      <color rgb="FF000000"/>
      <name val="Calibri"/>
    </font>
    <font>
      <sz val="12"/>
      <color rgb="FF000000"/>
      <name val="Calibri"/>
      <family val="2"/>
    </font>
    <font>
      <i/>
      <sz val="12"/>
      <color rgb="FF000000"/>
      <name val="Calibri"/>
    </font>
    <font>
      <b/>
      <sz val="12"/>
      <color rgb="FF000000"/>
      <name val="Calibri"/>
      <family val="2"/>
    </font>
    <font>
      <b/>
      <sz val="14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u/>
      <sz val="11"/>
      <color theme="10"/>
      <name val="Arial"/>
    </font>
    <font>
      <u/>
      <sz val="11"/>
      <color theme="1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14" fontId="3" fillId="0" borderId="0" xfId="0" applyNumberFormat="1" applyFont="1"/>
    <xf numFmtId="14" fontId="5" fillId="0" borderId="0" xfId="0" applyNumberFormat="1" applyFont="1" applyAlignment="1">
      <alignment horizontal="left" wrapText="1"/>
    </xf>
    <xf numFmtId="8" fontId="3" fillId="0" borderId="0" xfId="0" applyNumberFormat="1" applyFont="1"/>
    <xf numFmtId="4" fontId="3" fillId="0" borderId="0" xfId="0" applyNumberFormat="1" applyFont="1"/>
    <xf numFmtId="44" fontId="3" fillId="0" borderId="0" xfId="0" applyNumberFormat="1" applyFont="1"/>
    <xf numFmtId="0" fontId="6" fillId="0" borderId="0" xfId="0" applyFont="1"/>
    <xf numFmtId="44" fontId="6" fillId="0" borderId="0" xfId="0" applyNumberFormat="1" applyFont="1"/>
    <xf numFmtId="0" fontId="7" fillId="0" borderId="0" xfId="0" applyFont="1"/>
    <xf numFmtId="44" fontId="3" fillId="0" borderId="0" xfId="0" applyNumberFormat="1" applyFont="1" applyAlignment="1"/>
    <xf numFmtId="0" fontId="8" fillId="0" borderId="0" xfId="0" applyFont="1" applyAlignment="1"/>
    <xf numFmtId="44" fontId="6" fillId="0" borderId="0" xfId="0" applyNumberFormat="1" applyFont="1" applyAlignment="1"/>
    <xf numFmtId="0" fontId="9" fillId="0" borderId="0" xfId="0" applyFont="1" applyAlignment="1"/>
    <xf numFmtId="0" fontId="10" fillId="0" borderId="0" xfId="0" applyFont="1" applyAlignment="1"/>
    <xf numFmtId="0" fontId="14" fillId="0" borderId="0" xfId="0" applyFont="1" applyAlignment="1">
      <alignment horizontal="left" wrapText="1"/>
    </xf>
    <xf numFmtId="164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horizontal="right" wrapText="1"/>
    </xf>
    <xf numFmtId="165" fontId="14" fillId="0" borderId="3" xfId="0" applyNumberFormat="1" applyFont="1" applyBorder="1" applyAlignment="1">
      <alignment horizontal="right" wrapText="1"/>
    </xf>
    <xf numFmtId="14" fontId="0" fillId="0" borderId="0" xfId="0" applyNumberFormat="1" applyFont="1" applyAlignment="1"/>
    <xf numFmtId="0" fontId="0" fillId="0" borderId="0" xfId="0" applyFont="1" applyAlignment="1"/>
    <xf numFmtId="0" fontId="0" fillId="0" borderId="0" xfId="0"/>
    <xf numFmtId="0" fontId="0" fillId="0" borderId="0" xfId="0" applyFont="1" applyAlignment="1"/>
    <xf numFmtId="10" fontId="14" fillId="0" borderId="3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/>
    <xf numFmtId="0" fontId="15" fillId="0" borderId="0" xfId="0" applyFont="1" applyAlignment="1">
      <alignment horizontal="left" wrapText="1"/>
    </xf>
    <xf numFmtId="0" fontId="15" fillId="0" borderId="0" xfId="0" quotePrefix="1" applyFont="1" applyAlignment="1">
      <alignment horizontal="left" wrapText="1"/>
    </xf>
    <xf numFmtId="0" fontId="13" fillId="0" borderId="4" xfId="0" applyFont="1" applyBorder="1" applyAlignment="1">
      <alignment horizontal="center" wrapText="1"/>
    </xf>
    <xf numFmtId="10" fontId="15" fillId="0" borderId="0" xfId="0" applyNumberFormat="1" applyFont="1" applyAlignment="1">
      <alignment horizontal="right" wrapText="1"/>
    </xf>
    <xf numFmtId="0" fontId="0" fillId="0" borderId="0" xfId="0" applyFont="1" applyAlignment="1"/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44" fontId="7" fillId="0" borderId="0" xfId="0" applyNumberFormat="1" applyFont="1" applyAlignment="1"/>
    <xf numFmtId="0" fontId="0" fillId="0" borderId="0" xfId="0"/>
    <xf numFmtId="0" fontId="13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/>
    </xf>
    <xf numFmtId="0" fontId="0" fillId="0" borderId="0" xfId="0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Font="1" applyAlignment="1"/>
    <xf numFmtId="164" fontId="5" fillId="0" borderId="0" xfId="0" applyNumberFormat="1" applyFont="1" applyAlignment="1">
      <alignment horizontal="right" wrapText="1"/>
    </xf>
    <xf numFmtId="0" fontId="3" fillId="0" borderId="0" xfId="0" applyFont="1"/>
    <xf numFmtId="14" fontId="5" fillId="0" borderId="0" xfId="0" applyNumberFormat="1" applyFont="1" applyAlignment="1">
      <alignment horizontal="left" wrapText="1"/>
    </xf>
    <xf numFmtId="14" fontId="0" fillId="0" borderId="0" xfId="0" applyNumberFormat="1" applyFont="1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workbookViewId="0">
      <selection sqref="A1:D204"/>
    </sheetView>
  </sheetViews>
  <sheetFormatPr defaultColWidth="12.625" defaultRowHeight="15" customHeight="1" x14ac:dyDescent="0.2"/>
  <cols>
    <col min="1" max="1" width="35.125" customWidth="1"/>
    <col min="2" max="2" width="12.875" customWidth="1"/>
    <col min="3" max="3" width="13.125" customWidth="1"/>
    <col min="4" max="4" width="14.375" customWidth="1"/>
    <col min="5" max="26" width="7.625" customWidth="1"/>
  </cols>
  <sheetData>
    <row r="1" spans="1:4" ht="18" x14ac:dyDescent="0.25">
      <c r="A1" s="50" t="s">
        <v>0</v>
      </c>
      <c r="B1" s="49"/>
      <c r="C1" s="49"/>
      <c r="D1" s="49"/>
    </row>
    <row r="2" spans="1:4" ht="18" x14ac:dyDescent="0.25">
      <c r="A2" s="50" t="s">
        <v>270</v>
      </c>
      <c r="B2" s="49"/>
      <c r="C2" s="49"/>
      <c r="D2" s="49"/>
    </row>
    <row r="3" spans="1:4" ht="14.25" x14ac:dyDescent="0.2">
      <c r="A3" s="51" t="s">
        <v>271</v>
      </c>
      <c r="B3" s="49"/>
      <c r="C3" s="49"/>
      <c r="D3" s="49"/>
    </row>
    <row r="4" spans="1:4" ht="14.25" x14ac:dyDescent="0.2">
      <c r="A4" s="45"/>
      <c r="B4" s="45"/>
      <c r="C4" s="45"/>
      <c r="D4" s="45"/>
    </row>
    <row r="5" spans="1:4" ht="14.25" x14ac:dyDescent="0.2">
      <c r="A5" s="47"/>
      <c r="B5" s="52" t="s">
        <v>1</v>
      </c>
      <c r="C5" s="53"/>
      <c r="D5" s="53"/>
    </row>
    <row r="6" spans="1:4" ht="14.25" x14ac:dyDescent="0.2">
      <c r="A6" s="47"/>
      <c r="B6" s="46" t="s">
        <v>2</v>
      </c>
      <c r="C6" s="33" t="s">
        <v>3</v>
      </c>
      <c r="D6" s="33" t="s">
        <v>4</v>
      </c>
    </row>
    <row r="7" spans="1:4" ht="14.25" x14ac:dyDescent="0.2">
      <c r="A7" s="19" t="s">
        <v>5</v>
      </c>
      <c r="B7" s="20"/>
      <c r="C7" s="20"/>
      <c r="D7" s="20"/>
    </row>
    <row r="8" spans="1:4" ht="14.25" x14ac:dyDescent="0.2">
      <c r="A8" s="19" t="s">
        <v>6</v>
      </c>
      <c r="B8" s="20"/>
      <c r="C8" s="20"/>
      <c r="D8" s="34" t="str">
        <f t="shared" ref="D8:D43" si="0">IF(C8=0,"",(B8)/(C8))</f>
        <v/>
      </c>
    </row>
    <row r="9" spans="1:4" ht="14.25" x14ac:dyDescent="0.2">
      <c r="A9" s="19" t="s">
        <v>7</v>
      </c>
      <c r="B9" s="21">
        <f>22910.46</f>
        <v>22910.46</v>
      </c>
      <c r="C9" s="21">
        <f>39054</f>
        <v>39054</v>
      </c>
      <c r="D9" s="34">
        <f t="shared" si="0"/>
        <v>0.58663542786910428</v>
      </c>
    </row>
    <row r="10" spans="1:4" ht="14.25" x14ac:dyDescent="0.2">
      <c r="A10" s="19" t="s">
        <v>8</v>
      </c>
      <c r="B10" s="21">
        <f>11571.86</f>
        <v>11571.86</v>
      </c>
      <c r="C10" s="21">
        <f>10000</f>
        <v>10000</v>
      </c>
      <c r="D10" s="34">
        <f t="shared" si="0"/>
        <v>1.157186</v>
      </c>
    </row>
    <row r="11" spans="1:4" ht="14.25" x14ac:dyDescent="0.2">
      <c r="A11" s="19" t="s">
        <v>9</v>
      </c>
      <c r="B11" s="21">
        <f>24770.38</f>
        <v>24770.38</v>
      </c>
      <c r="C11" s="21">
        <f>5000</f>
        <v>5000</v>
      </c>
      <c r="D11" s="34">
        <f t="shared" si="0"/>
        <v>4.9540760000000006</v>
      </c>
    </row>
    <row r="12" spans="1:4" ht="14.25" x14ac:dyDescent="0.2">
      <c r="A12" s="19" t="s">
        <v>10</v>
      </c>
      <c r="B12" s="21">
        <f>231799.32</f>
        <v>231799.32</v>
      </c>
      <c r="C12" s="21">
        <f>231799</f>
        <v>231799</v>
      </c>
      <c r="D12" s="34">
        <f t="shared" si="0"/>
        <v>1.000001380506387</v>
      </c>
    </row>
    <row r="13" spans="1:4" ht="14.25" x14ac:dyDescent="0.2">
      <c r="A13" s="19" t="s">
        <v>11</v>
      </c>
      <c r="B13" s="21">
        <f>10269.9</f>
        <v>10269.9</v>
      </c>
      <c r="C13" s="21">
        <f>1500</f>
        <v>1500</v>
      </c>
      <c r="D13" s="34">
        <f t="shared" si="0"/>
        <v>6.8465999999999996</v>
      </c>
    </row>
    <row r="14" spans="1:4" ht="14.25" x14ac:dyDescent="0.2">
      <c r="A14" s="19" t="s">
        <v>12</v>
      </c>
      <c r="B14" s="20"/>
      <c r="C14" s="21">
        <f>5000</f>
        <v>5000</v>
      </c>
      <c r="D14" s="34">
        <f t="shared" si="0"/>
        <v>0</v>
      </c>
    </row>
    <row r="15" spans="1:4" ht="14.25" x14ac:dyDescent="0.2">
      <c r="A15" s="19" t="s">
        <v>241</v>
      </c>
      <c r="B15" s="21">
        <f>1916.66</f>
        <v>1916.66</v>
      </c>
      <c r="C15" s="21">
        <f>8000</f>
        <v>8000</v>
      </c>
      <c r="D15" s="34">
        <f t="shared" si="0"/>
        <v>0.2395825</v>
      </c>
    </row>
    <row r="16" spans="1:4" ht="14.25" x14ac:dyDescent="0.2">
      <c r="A16" s="19" t="s">
        <v>261</v>
      </c>
      <c r="B16" s="20"/>
      <c r="C16" s="21">
        <f>25000</f>
        <v>25000</v>
      </c>
      <c r="D16" s="34">
        <f t="shared" si="0"/>
        <v>0</v>
      </c>
    </row>
    <row r="17" spans="1:4" ht="14.25" x14ac:dyDescent="0.2">
      <c r="A17" s="19" t="s">
        <v>13</v>
      </c>
      <c r="B17" s="21">
        <f>24698.7</f>
        <v>24698.7</v>
      </c>
      <c r="C17" s="21">
        <f>16000</f>
        <v>16000</v>
      </c>
      <c r="D17" s="34">
        <f t="shared" si="0"/>
        <v>1.5436687500000001</v>
      </c>
    </row>
    <row r="18" spans="1:4" ht="14.25" x14ac:dyDescent="0.2">
      <c r="A18" s="19" t="s">
        <v>14</v>
      </c>
      <c r="B18" s="21">
        <f>70311.85</f>
        <v>70311.850000000006</v>
      </c>
      <c r="C18" s="21">
        <f>4500</f>
        <v>4500</v>
      </c>
      <c r="D18" s="34">
        <f t="shared" si="0"/>
        <v>15.624855555555557</v>
      </c>
    </row>
    <row r="19" spans="1:4" ht="14.25" x14ac:dyDescent="0.2">
      <c r="A19" s="19" t="s">
        <v>15</v>
      </c>
      <c r="B19" s="22">
        <f>((((((((((B8)+(B9))+(B10))+(B11))+(B12))+(B13))+(B14))+(B15))+(B16))+(B17))+(B18)</f>
        <v>398249.13</v>
      </c>
      <c r="C19" s="22">
        <f>((((((((((C8)+(C9))+(C10))+(C11))+(C12))+(C13))+(C14))+(C15))+(C16))+(C17))+(C18)</f>
        <v>345853</v>
      </c>
      <c r="D19" s="27">
        <f t="shared" si="0"/>
        <v>1.1514982666045979</v>
      </c>
    </row>
    <row r="20" spans="1:4" ht="14.25" x14ac:dyDescent="0.2">
      <c r="A20" s="19" t="s">
        <v>16</v>
      </c>
      <c r="B20" s="20"/>
      <c r="C20" s="20"/>
      <c r="D20" s="34" t="str">
        <f t="shared" si="0"/>
        <v/>
      </c>
    </row>
    <row r="21" spans="1:4" ht="15.75" customHeight="1" x14ac:dyDescent="0.2">
      <c r="A21" s="19" t="s">
        <v>17</v>
      </c>
      <c r="B21" s="21">
        <f>4535</f>
        <v>4535</v>
      </c>
      <c r="C21" s="21">
        <f>4800</f>
        <v>4800</v>
      </c>
      <c r="D21" s="34">
        <f t="shared" si="0"/>
        <v>0.9447916666666667</v>
      </c>
    </row>
    <row r="22" spans="1:4" ht="15.75" customHeight="1" x14ac:dyDescent="0.2">
      <c r="A22" s="19" t="s">
        <v>18</v>
      </c>
      <c r="B22" s="21">
        <f>1250</f>
        <v>1250</v>
      </c>
      <c r="C22" s="21">
        <f>750</f>
        <v>750</v>
      </c>
      <c r="D22" s="34">
        <f t="shared" si="0"/>
        <v>1.6666666666666667</v>
      </c>
    </row>
    <row r="23" spans="1:4" ht="15.75" customHeight="1" x14ac:dyDescent="0.2">
      <c r="A23" s="19" t="s">
        <v>19</v>
      </c>
      <c r="B23" s="22">
        <f>((B20)+(B21))+(B22)</f>
        <v>5785</v>
      </c>
      <c r="C23" s="22">
        <f>((C20)+(C21))+(C22)</f>
        <v>5550</v>
      </c>
      <c r="D23" s="27">
        <f t="shared" si="0"/>
        <v>1.0423423423423424</v>
      </c>
    </row>
    <row r="24" spans="1:4" ht="15.75" customHeight="1" x14ac:dyDescent="0.2">
      <c r="A24" s="19" t="s">
        <v>20</v>
      </c>
      <c r="B24" s="20"/>
      <c r="C24" s="20"/>
      <c r="D24" s="34" t="str">
        <f t="shared" si="0"/>
        <v/>
      </c>
    </row>
    <row r="25" spans="1:4" ht="15.75" customHeight="1" x14ac:dyDescent="0.2">
      <c r="A25" s="19" t="s">
        <v>21</v>
      </c>
      <c r="B25" s="20"/>
      <c r="C25" s="21">
        <f>140</f>
        <v>140</v>
      </c>
      <c r="D25" s="34">
        <f t="shared" si="0"/>
        <v>0</v>
      </c>
    </row>
    <row r="26" spans="1:4" ht="15.75" customHeight="1" x14ac:dyDescent="0.2">
      <c r="A26" s="19" t="s">
        <v>251</v>
      </c>
      <c r="B26" s="21">
        <f>37983.96</f>
        <v>37983.96</v>
      </c>
      <c r="C26" s="21">
        <f>30000</f>
        <v>30000</v>
      </c>
      <c r="D26" s="34">
        <f t="shared" si="0"/>
        <v>1.266132</v>
      </c>
    </row>
    <row r="27" spans="1:4" ht="15.75" customHeight="1" x14ac:dyDescent="0.2">
      <c r="A27" s="19" t="s">
        <v>22</v>
      </c>
      <c r="B27" s="20"/>
      <c r="C27" s="21">
        <f>500</f>
        <v>500</v>
      </c>
      <c r="D27" s="34">
        <f t="shared" si="0"/>
        <v>0</v>
      </c>
    </row>
    <row r="28" spans="1:4" ht="15.75" customHeight="1" x14ac:dyDescent="0.2">
      <c r="A28" s="19" t="s">
        <v>23</v>
      </c>
      <c r="B28" s="20"/>
      <c r="C28" s="21">
        <f>1750</f>
        <v>1750</v>
      </c>
      <c r="D28" s="34">
        <f t="shared" si="0"/>
        <v>0</v>
      </c>
    </row>
    <row r="29" spans="1:4" ht="15.75" customHeight="1" x14ac:dyDescent="0.2">
      <c r="A29" s="19" t="s">
        <v>24</v>
      </c>
      <c r="B29" s="21">
        <f>1100</f>
        <v>1100</v>
      </c>
      <c r="C29" s="21">
        <f>1000</f>
        <v>1000</v>
      </c>
      <c r="D29" s="34">
        <f t="shared" si="0"/>
        <v>1.1000000000000001</v>
      </c>
    </row>
    <row r="30" spans="1:4" ht="15.75" customHeight="1" x14ac:dyDescent="0.2">
      <c r="A30" s="19" t="s">
        <v>25</v>
      </c>
      <c r="B30" s="20"/>
      <c r="C30" s="21">
        <f>50</f>
        <v>50</v>
      </c>
      <c r="D30" s="34">
        <f t="shared" si="0"/>
        <v>0</v>
      </c>
    </row>
    <row r="31" spans="1:4" ht="15.75" customHeight="1" x14ac:dyDescent="0.2">
      <c r="A31" s="19" t="s">
        <v>26</v>
      </c>
      <c r="B31" s="22">
        <f>((((((B24)+(B25))+(B26))+(B27))+(B28))+(B29))+(B30)</f>
        <v>39083.96</v>
      </c>
      <c r="C31" s="22">
        <f>((((((C24)+(C25))+(C26))+(C27))+(C28))+(C29))+(C30)</f>
        <v>33440</v>
      </c>
      <c r="D31" s="27">
        <f t="shared" si="0"/>
        <v>1.1687787081339713</v>
      </c>
    </row>
    <row r="32" spans="1:4" ht="15.75" customHeight="1" x14ac:dyDescent="0.2">
      <c r="A32" s="19" t="s">
        <v>27</v>
      </c>
      <c r="B32" s="20"/>
      <c r="C32" s="20"/>
      <c r="D32" s="34" t="str">
        <f t="shared" si="0"/>
        <v/>
      </c>
    </row>
    <row r="33" spans="1:4" ht="15.75" customHeight="1" x14ac:dyDescent="0.2">
      <c r="A33" s="19" t="s">
        <v>28</v>
      </c>
      <c r="B33" s="21">
        <f>4561.72</f>
        <v>4561.72</v>
      </c>
      <c r="C33" s="21">
        <f>400</f>
        <v>400</v>
      </c>
      <c r="D33" s="34">
        <f t="shared" si="0"/>
        <v>11.404300000000001</v>
      </c>
    </row>
    <row r="34" spans="1:4" ht="15.75" customHeight="1" x14ac:dyDescent="0.2">
      <c r="A34" s="19" t="s">
        <v>29</v>
      </c>
      <c r="B34" s="21">
        <f>10968.51</f>
        <v>10968.51</v>
      </c>
      <c r="C34" s="21">
        <f>12100</f>
        <v>12100</v>
      </c>
      <c r="D34" s="34">
        <f t="shared" si="0"/>
        <v>0.90648842975206612</v>
      </c>
    </row>
    <row r="35" spans="1:4" ht="15.75" customHeight="1" x14ac:dyDescent="0.2">
      <c r="A35" s="19" t="s">
        <v>287</v>
      </c>
      <c r="B35" s="21">
        <f>800</f>
        <v>800</v>
      </c>
      <c r="C35" s="21">
        <f>1</f>
        <v>1</v>
      </c>
      <c r="D35" s="34">
        <f t="shared" si="0"/>
        <v>800</v>
      </c>
    </row>
    <row r="36" spans="1:4" ht="15.75" customHeight="1" x14ac:dyDescent="0.2">
      <c r="A36" s="19" t="s">
        <v>252</v>
      </c>
      <c r="B36" s="21">
        <f>3892.99</f>
        <v>3892.99</v>
      </c>
      <c r="C36" s="21">
        <f>1500</f>
        <v>1500</v>
      </c>
      <c r="D36" s="34">
        <f t="shared" si="0"/>
        <v>2.5953266666666663</v>
      </c>
    </row>
    <row r="37" spans="1:4" ht="15.75" customHeight="1" x14ac:dyDescent="0.2">
      <c r="A37" s="19" t="s">
        <v>30</v>
      </c>
      <c r="B37" s="22">
        <f>((((B32)+(B33))+(B34))+(B35))+(B36)</f>
        <v>20223.22</v>
      </c>
      <c r="C37" s="22">
        <f>((((C32)+(C33))+(C34))+(C35))+(C36)</f>
        <v>14001</v>
      </c>
      <c r="D37" s="27">
        <f t="shared" si="0"/>
        <v>1.4444125419612885</v>
      </c>
    </row>
    <row r="38" spans="1:4" ht="15.75" customHeight="1" x14ac:dyDescent="0.2">
      <c r="A38" s="19" t="s">
        <v>31</v>
      </c>
      <c r="B38" s="20"/>
      <c r="C38" s="20"/>
      <c r="D38" s="34" t="str">
        <f t="shared" si="0"/>
        <v/>
      </c>
    </row>
    <row r="39" spans="1:4" ht="15.75" customHeight="1" x14ac:dyDescent="0.2">
      <c r="A39" s="19" t="s">
        <v>32</v>
      </c>
      <c r="B39" s="21">
        <f>459000</f>
        <v>459000</v>
      </c>
      <c r="C39" s="21">
        <f>472000</f>
        <v>472000</v>
      </c>
      <c r="D39" s="34">
        <f t="shared" si="0"/>
        <v>0.97245762711864403</v>
      </c>
    </row>
    <row r="40" spans="1:4" ht="15.75" customHeight="1" x14ac:dyDescent="0.2">
      <c r="A40" s="19" t="s">
        <v>33</v>
      </c>
      <c r="B40" s="20"/>
      <c r="C40" s="21">
        <f>35000</f>
        <v>35000</v>
      </c>
      <c r="D40" s="34">
        <f t="shared" si="0"/>
        <v>0</v>
      </c>
    </row>
    <row r="41" spans="1:4" ht="15.75" customHeight="1" x14ac:dyDescent="0.2">
      <c r="A41" s="19" t="s">
        <v>34</v>
      </c>
      <c r="B41" s="22">
        <f>((B38)+(B39))+(B40)</f>
        <v>459000</v>
      </c>
      <c r="C41" s="22">
        <f>((C38)+(C39))+(C40)</f>
        <v>507000</v>
      </c>
      <c r="D41" s="27">
        <f t="shared" si="0"/>
        <v>0.90532544378698221</v>
      </c>
    </row>
    <row r="42" spans="1:4" ht="15.75" customHeight="1" x14ac:dyDescent="0.2">
      <c r="A42" s="19" t="s">
        <v>35</v>
      </c>
      <c r="B42" s="22">
        <f>((((B19)+(B23))+(B31))+(B37))+(B41)</f>
        <v>922341.31</v>
      </c>
      <c r="C42" s="22">
        <f>((((C19)+(C23))+(C31))+(C37))+(C41)</f>
        <v>905844</v>
      </c>
      <c r="D42" s="27">
        <f t="shared" si="0"/>
        <v>1.0182120872909686</v>
      </c>
    </row>
    <row r="43" spans="1:4" ht="15.75" customHeight="1" x14ac:dyDescent="0.2">
      <c r="A43" s="19" t="s">
        <v>36</v>
      </c>
      <c r="B43" s="22">
        <f>(B42)-(0)</f>
        <v>922341.31</v>
      </c>
      <c r="C43" s="22">
        <f>(C42)-(0)</f>
        <v>905844</v>
      </c>
      <c r="D43" s="27">
        <f t="shared" si="0"/>
        <v>1.0182120872909686</v>
      </c>
    </row>
    <row r="44" spans="1:4" ht="15.75" customHeight="1" x14ac:dyDescent="0.2">
      <c r="A44" s="19" t="s">
        <v>37</v>
      </c>
      <c r="B44" s="20"/>
      <c r="C44" s="20"/>
      <c r="D44" s="20"/>
    </row>
    <row r="45" spans="1:4" ht="15.75" customHeight="1" x14ac:dyDescent="0.2">
      <c r="A45" s="19" t="s">
        <v>38</v>
      </c>
      <c r="B45" s="20"/>
      <c r="C45" s="20"/>
      <c r="D45" s="34" t="str">
        <f t="shared" ref="D45:D108" si="1">IF(C45=0,"",(B45)/(C45))</f>
        <v/>
      </c>
    </row>
    <row r="46" spans="1:4" ht="15.75" customHeight="1" x14ac:dyDescent="0.2">
      <c r="A46" s="19" t="s">
        <v>39</v>
      </c>
      <c r="B46" s="20"/>
      <c r="C46" s="20"/>
      <c r="D46" s="34" t="str">
        <f t="shared" si="1"/>
        <v/>
      </c>
    </row>
    <row r="47" spans="1:4" ht="15.75" customHeight="1" x14ac:dyDescent="0.2">
      <c r="A47" s="19" t="s">
        <v>40</v>
      </c>
      <c r="B47" s="21">
        <f>27000</f>
        <v>27000</v>
      </c>
      <c r="C47" s="21">
        <f>32400</f>
        <v>32400</v>
      </c>
      <c r="D47" s="34">
        <f t="shared" si="1"/>
        <v>0.83333333333333337</v>
      </c>
    </row>
    <row r="48" spans="1:4" ht="15.75" customHeight="1" x14ac:dyDescent="0.2">
      <c r="A48" s="19" t="s">
        <v>41</v>
      </c>
      <c r="B48" s="21">
        <f>1174</f>
        <v>1174</v>
      </c>
      <c r="C48" s="21">
        <f>2400</f>
        <v>2400</v>
      </c>
      <c r="D48" s="34">
        <f t="shared" si="1"/>
        <v>0.48916666666666669</v>
      </c>
    </row>
    <row r="49" spans="1:4" ht="15.75" customHeight="1" x14ac:dyDescent="0.2">
      <c r="A49" s="19" t="s">
        <v>42</v>
      </c>
      <c r="B49" s="21">
        <f>522.4</f>
        <v>522.4</v>
      </c>
      <c r="C49" s="21">
        <f>1000</f>
        <v>1000</v>
      </c>
      <c r="D49" s="34">
        <f t="shared" si="1"/>
        <v>0.52239999999999998</v>
      </c>
    </row>
    <row r="50" spans="1:4" ht="15.75" customHeight="1" x14ac:dyDescent="0.2">
      <c r="A50" s="19" t="s">
        <v>43</v>
      </c>
      <c r="B50" s="22">
        <f>(((B46)+(B47))+(B48))+(B49)</f>
        <v>28696.400000000001</v>
      </c>
      <c r="C50" s="22">
        <f>(((C46)+(C47))+(C48))+(C49)</f>
        <v>35800</v>
      </c>
      <c r="D50" s="27">
        <f t="shared" si="1"/>
        <v>0.80157541899441342</v>
      </c>
    </row>
    <row r="51" spans="1:4" ht="15.75" customHeight="1" x14ac:dyDescent="0.2">
      <c r="A51" s="19" t="s">
        <v>44</v>
      </c>
      <c r="B51" s="20"/>
      <c r="C51" s="20"/>
      <c r="D51" s="34" t="str">
        <f t="shared" si="1"/>
        <v/>
      </c>
    </row>
    <row r="52" spans="1:4" ht="15.75" customHeight="1" x14ac:dyDescent="0.2">
      <c r="A52" s="19" t="s">
        <v>45</v>
      </c>
      <c r="B52" s="21">
        <f>1005</f>
        <v>1005</v>
      </c>
      <c r="C52" s="21">
        <f>1500</f>
        <v>1500</v>
      </c>
      <c r="D52" s="34">
        <f t="shared" si="1"/>
        <v>0.67</v>
      </c>
    </row>
    <row r="53" spans="1:4" ht="15.75" customHeight="1" x14ac:dyDescent="0.2">
      <c r="A53" s="19" t="s">
        <v>46</v>
      </c>
      <c r="B53" s="22">
        <f>(B51)+(B52)</f>
        <v>1005</v>
      </c>
      <c r="C53" s="22">
        <f>(C51)+(C52)</f>
        <v>1500</v>
      </c>
      <c r="D53" s="27">
        <f t="shared" si="1"/>
        <v>0.67</v>
      </c>
    </row>
    <row r="54" spans="1:4" ht="15.75" customHeight="1" x14ac:dyDescent="0.2">
      <c r="A54" s="19" t="s">
        <v>47</v>
      </c>
      <c r="B54" s="20"/>
      <c r="C54" s="20"/>
      <c r="D54" s="34" t="str">
        <f t="shared" si="1"/>
        <v/>
      </c>
    </row>
    <row r="55" spans="1:4" ht="15.75" customHeight="1" x14ac:dyDescent="0.2">
      <c r="A55" s="19" t="s">
        <v>48</v>
      </c>
      <c r="B55" s="21">
        <f>36382.4</f>
        <v>36382.400000000001</v>
      </c>
      <c r="C55" s="21">
        <f>42924</f>
        <v>42924</v>
      </c>
      <c r="D55" s="34">
        <f t="shared" si="1"/>
        <v>0.84760041002702458</v>
      </c>
    </row>
    <row r="56" spans="1:4" ht="15.75" customHeight="1" x14ac:dyDescent="0.2">
      <c r="A56" s="19" t="s">
        <v>49</v>
      </c>
      <c r="B56" s="21">
        <f>17487.29</f>
        <v>17487.29</v>
      </c>
      <c r="C56" s="21">
        <f>21000</f>
        <v>21000</v>
      </c>
      <c r="D56" s="34">
        <f t="shared" si="1"/>
        <v>0.83272809523809532</v>
      </c>
    </row>
    <row r="57" spans="1:4" ht="15.75" customHeight="1" x14ac:dyDescent="0.2">
      <c r="A57" s="19" t="s">
        <v>50</v>
      </c>
      <c r="B57" s="21">
        <f>8371.2</f>
        <v>8371.2000000000007</v>
      </c>
      <c r="C57" s="21">
        <f>9880</f>
        <v>9880</v>
      </c>
      <c r="D57" s="34">
        <f t="shared" si="1"/>
        <v>0.84728744939271261</v>
      </c>
    </row>
    <row r="58" spans="1:4" ht="15.75" customHeight="1" x14ac:dyDescent="0.2">
      <c r="A58" s="19" t="s">
        <v>282</v>
      </c>
      <c r="B58" s="21">
        <f>668</f>
        <v>668</v>
      </c>
      <c r="C58" s="21">
        <f>1000</f>
        <v>1000</v>
      </c>
      <c r="D58" s="34">
        <f t="shared" si="1"/>
        <v>0.66800000000000004</v>
      </c>
    </row>
    <row r="59" spans="1:4" ht="15.75" customHeight="1" x14ac:dyDescent="0.2">
      <c r="A59" s="19" t="s">
        <v>51</v>
      </c>
      <c r="B59" s="21">
        <f>871.9</f>
        <v>871.9</v>
      </c>
      <c r="C59" s="21">
        <f>4000</f>
        <v>4000</v>
      </c>
      <c r="D59" s="34">
        <f t="shared" si="1"/>
        <v>0.217975</v>
      </c>
    </row>
    <row r="60" spans="1:4" ht="15.75" customHeight="1" x14ac:dyDescent="0.2">
      <c r="A60" s="19" t="s">
        <v>52</v>
      </c>
      <c r="B60" s="21">
        <f>2242.81</f>
        <v>2242.81</v>
      </c>
      <c r="C60" s="21">
        <f>5000</f>
        <v>5000</v>
      </c>
      <c r="D60" s="34">
        <f t="shared" si="1"/>
        <v>0.44856200000000002</v>
      </c>
    </row>
    <row r="61" spans="1:4" ht="15.75" customHeight="1" x14ac:dyDescent="0.2">
      <c r="A61" s="19" t="s">
        <v>53</v>
      </c>
      <c r="B61" s="21">
        <f>1352.18</f>
        <v>1352.18</v>
      </c>
      <c r="C61" s="21">
        <f>2100</f>
        <v>2100</v>
      </c>
      <c r="D61" s="34">
        <f t="shared" si="1"/>
        <v>0.64389523809523808</v>
      </c>
    </row>
    <row r="62" spans="1:4" ht="15.75" customHeight="1" x14ac:dyDescent="0.2">
      <c r="A62" s="19" t="s">
        <v>54</v>
      </c>
      <c r="B62" s="20"/>
      <c r="C62" s="21">
        <f>100</f>
        <v>100</v>
      </c>
      <c r="D62" s="34">
        <f t="shared" si="1"/>
        <v>0</v>
      </c>
    </row>
    <row r="63" spans="1:4" ht="15.75" customHeight="1" x14ac:dyDescent="0.2">
      <c r="A63" s="19" t="s">
        <v>55</v>
      </c>
      <c r="B63" s="21">
        <f>1704.95</f>
        <v>1704.95</v>
      </c>
      <c r="C63" s="21">
        <f>2500</f>
        <v>2500</v>
      </c>
      <c r="D63" s="34">
        <f t="shared" si="1"/>
        <v>0.68198000000000003</v>
      </c>
    </row>
    <row r="64" spans="1:4" ht="15.75" customHeight="1" x14ac:dyDescent="0.2">
      <c r="A64" s="19" t="s">
        <v>56</v>
      </c>
      <c r="B64" s="21">
        <f>7235.99</f>
        <v>7235.99</v>
      </c>
      <c r="C64" s="21">
        <f>4500</f>
        <v>4500</v>
      </c>
      <c r="D64" s="34">
        <f t="shared" si="1"/>
        <v>1.6079977777777776</v>
      </c>
    </row>
    <row r="65" spans="1:4" ht="15.75" customHeight="1" x14ac:dyDescent="0.2">
      <c r="A65" s="19" t="s">
        <v>57</v>
      </c>
      <c r="B65" s="21">
        <f>405.9</f>
        <v>405.9</v>
      </c>
      <c r="C65" s="21">
        <f>700</f>
        <v>700</v>
      </c>
      <c r="D65" s="34">
        <f t="shared" si="1"/>
        <v>0.57985714285714285</v>
      </c>
    </row>
    <row r="66" spans="1:4" ht="15.75" customHeight="1" x14ac:dyDescent="0.2">
      <c r="A66" s="19" t="s">
        <v>58</v>
      </c>
      <c r="B66" s="20"/>
      <c r="C66" s="21">
        <f>575</f>
        <v>575</v>
      </c>
      <c r="D66" s="34">
        <f t="shared" si="1"/>
        <v>0</v>
      </c>
    </row>
    <row r="67" spans="1:4" ht="15.75" customHeight="1" x14ac:dyDescent="0.2">
      <c r="A67" s="19" t="s">
        <v>59</v>
      </c>
      <c r="B67" s="22">
        <f>((((((((((((B54)+(B55))+(B56))+(B57))+(B58))+(B59))+(B60))+(B61))+(B62))+(B63))+(B64))+(B65))+(B66)</f>
        <v>76722.62</v>
      </c>
      <c r="C67" s="22">
        <f>((((((((((((C54)+(C55))+(C56))+(C57))+(C58))+(C59))+(C60))+(C61))+(C62))+(C63))+(C64))+(C65))+(C66)</f>
        <v>94279</v>
      </c>
      <c r="D67" s="27">
        <f t="shared" si="1"/>
        <v>0.81378270876865466</v>
      </c>
    </row>
    <row r="68" spans="1:4" ht="15.75" customHeight="1" x14ac:dyDescent="0.2">
      <c r="A68" s="19" t="s">
        <v>60</v>
      </c>
      <c r="B68" s="20"/>
      <c r="C68" s="20"/>
      <c r="D68" s="34" t="str">
        <f t="shared" si="1"/>
        <v/>
      </c>
    </row>
    <row r="69" spans="1:4" ht="15.75" customHeight="1" x14ac:dyDescent="0.2">
      <c r="A69" s="19" t="s">
        <v>61</v>
      </c>
      <c r="B69" s="21">
        <f>1830</f>
        <v>1830</v>
      </c>
      <c r="C69" s="21">
        <f>4500</f>
        <v>4500</v>
      </c>
      <c r="D69" s="34">
        <f t="shared" si="1"/>
        <v>0.40666666666666668</v>
      </c>
    </row>
    <row r="70" spans="1:4" ht="15.75" customHeight="1" x14ac:dyDescent="0.2">
      <c r="A70" s="19" t="s">
        <v>62</v>
      </c>
      <c r="B70" s="21">
        <f>130.07</f>
        <v>130.07</v>
      </c>
      <c r="C70" s="21">
        <f>750</f>
        <v>750</v>
      </c>
      <c r="D70" s="34">
        <f t="shared" si="1"/>
        <v>0.17342666666666665</v>
      </c>
    </row>
    <row r="71" spans="1:4" ht="15.75" customHeight="1" x14ac:dyDescent="0.2">
      <c r="A71" s="19" t="s">
        <v>63</v>
      </c>
      <c r="B71" s="21">
        <f>116.1</f>
        <v>116.1</v>
      </c>
      <c r="C71" s="21">
        <f>200</f>
        <v>200</v>
      </c>
      <c r="D71" s="34">
        <f t="shared" si="1"/>
        <v>0.58050000000000002</v>
      </c>
    </row>
    <row r="72" spans="1:4" ht="15.75" customHeight="1" x14ac:dyDescent="0.2">
      <c r="A72" s="19" t="s">
        <v>64</v>
      </c>
      <c r="B72" s="21">
        <f>689.9</f>
        <v>689.9</v>
      </c>
      <c r="C72" s="21">
        <f>2500</f>
        <v>2500</v>
      </c>
      <c r="D72" s="34">
        <f t="shared" si="1"/>
        <v>0.27595999999999998</v>
      </c>
    </row>
    <row r="73" spans="1:4" ht="15.75" customHeight="1" x14ac:dyDescent="0.2">
      <c r="A73" s="19" t="s">
        <v>65</v>
      </c>
      <c r="B73" s="22">
        <f>((((B68)+(B69))+(B70))+(B71))+(B72)</f>
        <v>2766.07</v>
      </c>
      <c r="C73" s="22">
        <f>((((C68)+(C69))+(C70))+(C71))+(C72)</f>
        <v>7950</v>
      </c>
      <c r="D73" s="27">
        <f t="shared" si="1"/>
        <v>0.34793333333333337</v>
      </c>
    </row>
    <row r="74" spans="1:4" ht="15.75" customHeight="1" x14ac:dyDescent="0.2">
      <c r="A74" s="19" t="s">
        <v>66</v>
      </c>
      <c r="B74" s="20"/>
      <c r="C74" s="20"/>
      <c r="D74" s="34" t="str">
        <f t="shared" si="1"/>
        <v/>
      </c>
    </row>
    <row r="75" spans="1:4" ht="15.75" customHeight="1" x14ac:dyDescent="0.2">
      <c r="A75" s="19" t="s">
        <v>67</v>
      </c>
      <c r="B75" s="21">
        <f>2122</f>
        <v>2122</v>
      </c>
      <c r="C75" s="21">
        <f>3000</f>
        <v>3000</v>
      </c>
      <c r="D75" s="34">
        <f t="shared" si="1"/>
        <v>0.70733333333333337</v>
      </c>
    </row>
    <row r="76" spans="1:4" ht="15" hidden="1" customHeight="1" x14ac:dyDescent="0.2">
      <c r="A76" s="19" t="s">
        <v>68</v>
      </c>
      <c r="B76" s="21">
        <f>15000</f>
        <v>15000</v>
      </c>
      <c r="C76" s="21">
        <f>18000</f>
        <v>18000</v>
      </c>
      <c r="D76" s="34">
        <f t="shared" si="1"/>
        <v>0.83333333333333337</v>
      </c>
    </row>
    <row r="77" spans="1:4" ht="15.75" customHeight="1" x14ac:dyDescent="0.2">
      <c r="A77" s="19" t="s">
        <v>69</v>
      </c>
      <c r="B77" s="22">
        <f>((B74)+(B75))+(B76)</f>
        <v>17122</v>
      </c>
      <c r="C77" s="22">
        <f>((C74)+(C75))+(C76)</f>
        <v>21000</v>
      </c>
      <c r="D77" s="27">
        <f t="shared" si="1"/>
        <v>0.81533333333333335</v>
      </c>
    </row>
    <row r="78" spans="1:4" ht="15.75" customHeight="1" x14ac:dyDescent="0.2">
      <c r="A78" s="19" t="s">
        <v>70</v>
      </c>
      <c r="B78" s="20"/>
      <c r="C78" s="20"/>
      <c r="D78" s="34" t="str">
        <f t="shared" si="1"/>
        <v/>
      </c>
    </row>
    <row r="79" spans="1:4" ht="15" hidden="1" customHeight="1" x14ac:dyDescent="0.2">
      <c r="A79" s="19" t="s">
        <v>71</v>
      </c>
      <c r="B79" s="21">
        <f>58000</f>
        <v>58000</v>
      </c>
      <c r="C79" s="21">
        <f>57050</f>
        <v>57050</v>
      </c>
      <c r="D79" s="34">
        <f t="shared" si="1"/>
        <v>1.0166520595968449</v>
      </c>
    </row>
    <row r="80" spans="1:4" ht="15.75" customHeight="1" x14ac:dyDescent="0.2">
      <c r="A80" s="19" t="s">
        <v>72</v>
      </c>
      <c r="B80" s="21">
        <f>399.9</f>
        <v>399.9</v>
      </c>
      <c r="C80" s="21">
        <f>500</f>
        <v>500</v>
      </c>
      <c r="D80" s="34">
        <f t="shared" si="1"/>
        <v>0.79979999999999996</v>
      </c>
    </row>
    <row r="81" spans="1:4" ht="15.75" customHeight="1" x14ac:dyDescent="0.2">
      <c r="A81" s="19" t="s">
        <v>73</v>
      </c>
      <c r="B81" s="21">
        <f>1500</f>
        <v>1500</v>
      </c>
      <c r="C81" s="21">
        <f>1750</f>
        <v>1750</v>
      </c>
      <c r="D81" s="34">
        <f t="shared" si="1"/>
        <v>0.8571428571428571</v>
      </c>
    </row>
    <row r="82" spans="1:4" ht="15.75" customHeight="1" x14ac:dyDescent="0.2">
      <c r="A82" s="19" t="s">
        <v>74</v>
      </c>
      <c r="B82" s="22">
        <f>(((B78)+(B79))+(B80))+(B81)</f>
        <v>59899.9</v>
      </c>
      <c r="C82" s="22">
        <f>(((C78)+(C79))+(C80))+(C81)</f>
        <v>59300</v>
      </c>
      <c r="D82" s="27">
        <f t="shared" si="1"/>
        <v>1.0101163575042158</v>
      </c>
    </row>
    <row r="83" spans="1:4" ht="15.75" customHeight="1" x14ac:dyDescent="0.2">
      <c r="A83" s="19" t="s">
        <v>75</v>
      </c>
      <c r="B83" s="20"/>
      <c r="C83" s="20"/>
      <c r="D83" s="34" t="str">
        <f t="shared" si="1"/>
        <v/>
      </c>
    </row>
    <row r="84" spans="1:4" ht="15.75" customHeight="1" x14ac:dyDescent="0.2">
      <c r="A84" s="19" t="s">
        <v>76</v>
      </c>
      <c r="B84" s="21">
        <f>2550</f>
        <v>2550</v>
      </c>
      <c r="C84" s="21">
        <f>3300</f>
        <v>3300</v>
      </c>
      <c r="D84" s="34">
        <f t="shared" si="1"/>
        <v>0.77272727272727271</v>
      </c>
    </row>
    <row r="85" spans="1:4" ht="15.75" customHeight="1" x14ac:dyDescent="0.2">
      <c r="A85" s="19" t="s">
        <v>77</v>
      </c>
      <c r="B85" s="21">
        <f>3639.88</f>
        <v>3639.88</v>
      </c>
      <c r="C85" s="21">
        <f>2000</f>
        <v>2000</v>
      </c>
      <c r="D85" s="34">
        <f t="shared" si="1"/>
        <v>1.8199400000000001</v>
      </c>
    </row>
    <row r="86" spans="1:4" ht="15.75" customHeight="1" x14ac:dyDescent="0.2">
      <c r="A86" s="19" t="s">
        <v>78</v>
      </c>
      <c r="B86" s="21">
        <f>1508.65</f>
        <v>1508.65</v>
      </c>
      <c r="C86" s="21">
        <f>4000</f>
        <v>4000</v>
      </c>
      <c r="D86" s="34">
        <f t="shared" si="1"/>
        <v>0.37716250000000001</v>
      </c>
    </row>
    <row r="87" spans="1:4" ht="15.75" customHeight="1" x14ac:dyDescent="0.2">
      <c r="A87" s="19" t="s">
        <v>79</v>
      </c>
      <c r="B87" s="21">
        <f>8190.77</f>
        <v>8190.77</v>
      </c>
      <c r="C87" s="21">
        <f>8000</f>
        <v>8000</v>
      </c>
      <c r="D87" s="34">
        <f t="shared" si="1"/>
        <v>1.0238462500000001</v>
      </c>
    </row>
    <row r="88" spans="1:4" ht="15.75" customHeight="1" x14ac:dyDescent="0.2">
      <c r="A88" s="19" t="s">
        <v>80</v>
      </c>
      <c r="B88" s="21">
        <f>3464.5</f>
        <v>3464.5</v>
      </c>
      <c r="C88" s="21">
        <f>4100</f>
        <v>4100</v>
      </c>
      <c r="D88" s="34">
        <f t="shared" si="1"/>
        <v>0.84499999999999997</v>
      </c>
    </row>
    <row r="89" spans="1:4" ht="15.75" customHeight="1" x14ac:dyDescent="0.2">
      <c r="A89" s="19" t="s">
        <v>81</v>
      </c>
      <c r="B89" s="21">
        <f>1025</f>
        <v>1025</v>
      </c>
      <c r="C89" s="21">
        <f>1000</f>
        <v>1000</v>
      </c>
      <c r="D89" s="34">
        <f t="shared" si="1"/>
        <v>1.0249999999999999</v>
      </c>
    </row>
    <row r="90" spans="1:4" ht="15.75" customHeight="1" x14ac:dyDescent="0.2">
      <c r="A90" s="19" t="s">
        <v>82</v>
      </c>
      <c r="B90" s="21">
        <f>2129.67</f>
        <v>2129.67</v>
      </c>
      <c r="C90" s="21">
        <f>3500</f>
        <v>3500</v>
      </c>
      <c r="D90" s="34">
        <f t="shared" si="1"/>
        <v>0.60847714285714283</v>
      </c>
    </row>
    <row r="91" spans="1:4" ht="15.75" customHeight="1" x14ac:dyDescent="0.2">
      <c r="A91" s="19" t="s">
        <v>83</v>
      </c>
      <c r="B91" s="22">
        <f>(((((((B83)+(B84))+(B85))+(B86))+(B87))+(B88))+(B89))+(B90)</f>
        <v>22508.47</v>
      </c>
      <c r="C91" s="22">
        <f>(((((((C83)+(C84))+(C85))+(C86))+(C87))+(C88))+(C89))+(C90)</f>
        <v>25900</v>
      </c>
      <c r="D91" s="27">
        <f t="shared" si="1"/>
        <v>0.86905289575289579</v>
      </c>
    </row>
    <row r="92" spans="1:4" ht="15.75" customHeight="1" x14ac:dyDescent="0.2">
      <c r="A92" s="19" t="s">
        <v>84</v>
      </c>
      <c r="B92" s="20"/>
      <c r="C92" s="20"/>
      <c r="D92" s="34" t="str">
        <f t="shared" si="1"/>
        <v/>
      </c>
    </row>
    <row r="93" spans="1:4" ht="15.75" customHeight="1" x14ac:dyDescent="0.2">
      <c r="A93" s="19" t="s">
        <v>85</v>
      </c>
      <c r="B93" s="20"/>
      <c r="C93" s="21">
        <f>1501</f>
        <v>1501</v>
      </c>
      <c r="D93" s="34">
        <f t="shared" si="1"/>
        <v>0</v>
      </c>
    </row>
    <row r="94" spans="1:4" ht="15.75" customHeight="1" x14ac:dyDescent="0.2">
      <c r="A94" s="19" t="s">
        <v>86</v>
      </c>
      <c r="B94" s="21">
        <f>9141</f>
        <v>9141</v>
      </c>
      <c r="C94" s="21">
        <f>10942</f>
        <v>10942</v>
      </c>
      <c r="D94" s="34">
        <f t="shared" si="1"/>
        <v>0.83540486199963448</v>
      </c>
    </row>
    <row r="95" spans="1:4" ht="15.75" customHeight="1" x14ac:dyDescent="0.2">
      <c r="A95" s="19" t="s">
        <v>87</v>
      </c>
      <c r="B95" s="21">
        <f>21007</f>
        <v>21007</v>
      </c>
      <c r="C95" s="21">
        <f>19718</f>
        <v>19718</v>
      </c>
      <c r="D95" s="34">
        <f t="shared" si="1"/>
        <v>1.0653717415559387</v>
      </c>
    </row>
    <row r="96" spans="1:4" ht="15.75" customHeight="1" x14ac:dyDescent="0.2">
      <c r="A96" s="19" t="s">
        <v>88</v>
      </c>
      <c r="B96" s="20"/>
      <c r="C96" s="21">
        <f>2500</f>
        <v>2500</v>
      </c>
      <c r="D96" s="34">
        <f t="shared" si="1"/>
        <v>0</v>
      </c>
    </row>
    <row r="97" spans="1:4" ht="15.75" customHeight="1" x14ac:dyDescent="0.2">
      <c r="A97" s="19" t="s">
        <v>89</v>
      </c>
      <c r="B97" s="22">
        <f>((((B92)+(B93))+(B94))+(B95))+(B96)</f>
        <v>30148</v>
      </c>
      <c r="C97" s="22">
        <f>((((C92)+(C93))+(C94))+(C95))+(C96)</f>
        <v>34661</v>
      </c>
      <c r="D97" s="27">
        <f t="shared" si="1"/>
        <v>0.86979602435013414</v>
      </c>
    </row>
    <row r="98" spans="1:4" ht="15.75" customHeight="1" x14ac:dyDescent="0.2">
      <c r="A98" s="19" t="s">
        <v>90</v>
      </c>
      <c r="B98" s="22">
        <f>((((((((B45)+(B50))+(B53))+(B67))+(B73))+(B77))+(B82))+(B91))+(B97)</f>
        <v>238868.46</v>
      </c>
      <c r="C98" s="22">
        <f>((((((((C45)+(C50))+(C53))+(C67))+(C73))+(C77))+(C82))+(C91))+(C97)</f>
        <v>280390</v>
      </c>
      <c r="D98" s="27">
        <f t="shared" si="1"/>
        <v>0.85191504689896214</v>
      </c>
    </row>
    <row r="99" spans="1:4" ht="15.75" customHeight="1" x14ac:dyDescent="0.2">
      <c r="A99" s="19" t="s">
        <v>91</v>
      </c>
      <c r="B99" s="20"/>
      <c r="C99" s="20"/>
      <c r="D99" s="34" t="str">
        <f t="shared" si="1"/>
        <v/>
      </c>
    </row>
    <row r="100" spans="1:4" ht="15.75" customHeight="1" x14ac:dyDescent="0.2">
      <c r="A100" s="19" t="s">
        <v>92</v>
      </c>
      <c r="B100" s="20"/>
      <c r="C100" s="20"/>
      <c r="D100" s="34" t="str">
        <f t="shared" si="1"/>
        <v/>
      </c>
    </row>
    <row r="101" spans="1:4" ht="15.75" customHeight="1" x14ac:dyDescent="0.2">
      <c r="A101" s="19" t="s">
        <v>93</v>
      </c>
      <c r="B101" s="21">
        <f>5200</f>
        <v>5200</v>
      </c>
      <c r="C101" s="21">
        <f>6400</f>
        <v>6400</v>
      </c>
      <c r="D101" s="34">
        <f t="shared" si="1"/>
        <v>0.8125</v>
      </c>
    </row>
    <row r="102" spans="1:4" ht="15.75" customHeight="1" x14ac:dyDescent="0.2">
      <c r="A102" s="19" t="s">
        <v>94</v>
      </c>
      <c r="B102" s="21">
        <f>17000</f>
        <v>17000</v>
      </c>
      <c r="C102" s="21">
        <f>17000</f>
        <v>17000</v>
      </c>
      <c r="D102" s="34">
        <f t="shared" si="1"/>
        <v>1</v>
      </c>
    </row>
    <row r="103" spans="1:4" ht="15.75" customHeight="1" x14ac:dyDescent="0.2">
      <c r="A103" s="19" t="s">
        <v>95</v>
      </c>
      <c r="B103" s="21">
        <f>2345.71</f>
        <v>2345.71</v>
      </c>
      <c r="C103" s="21">
        <f>3500</f>
        <v>3500</v>
      </c>
      <c r="D103" s="34">
        <f t="shared" si="1"/>
        <v>0.6702028571428571</v>
      </c>
    </row>
    <row r="104" spans="1:4" ht="15.75" customHeight="1" x14ac:dyDescent="0.2">
      <c r="A104" s="19" t="s">
        <v>96</v>
      </c>
      <c r="B104" s="21">
        <f>2000</f>
        <v>2000</v>
      </c>
      <c r="C104" s="21">
        <f>4000</f>
        <v>4000</v>
      </c>
      <c r="D104" s="34">
        <f t="shared" si="1"/>
        <v>0.5</v>
      </c>
    </row>
    <row r="105" spans="1:4" ht="15.75" customHeight="1" x14ac:dyDescent="0.2">
      <c r="A105" s="19" t="s">
        <v>97</v>
      </c>
      <c r="B105" s="21">
        <f>9379.16</f>
        <v>9379.16</v>
      </c>
      <c r="C105" s="21">
        <f>8000</f>
        <v>8000</v>
      </c>
      <c r="D105" s="34">
        <f t="shared" si="1"/>
        <v>1.1723950000000001</v>
      </c>
    </row>
    <row r="106" spans="1:4" ht="15.75" customHeight="1" x14ac:dyDescent="0.2">
      <c r="A106" s="19" t="s">
        <v>98</v>
      </c>
      <c r="B106" s="21">
        <f>8391.4</f>
        <v>8391.4</v>
      </c>
      <c r="C106" s="21">
        <f>8000</f>
        <v>8000</v>
      </c>
      <c r="D106" s="34">
        <f t="shared" si="1"/>
        <v>1.0489249999999999</v>
      </c>
    </row>
    <row r="107" spans="1:4" ht="15.75" customHeight="1" x14ac:dyDescent="0.2">
      <c r="A107" s="19" t="s">
        <v>99</v>
      </c>
      <c r="B107" s="21">
        <f>4077.58</f>
        <v>4077.58</v>
      </c>
      <c r="C107" s="21">
        <f>4000</f>
        <v>4000</v>
      </c>
      <c r="D107" s="34">
        <f t="shared" si="1"/>
        <v>1.0193950000000001</v>
      </c>
    </row>
    <row r="108" spans="1:4" ht="15.75" customHeight="1" x14ac:dyDescent="0.2">
      <c r="A108" s="19" t="s">
        <v>100</v>
      </c>
      <c r="B108" s="21">
        <f>303.72</f>
        <v>303.72000000000003</v>
      </c>
      <c r="C108" s="21">
        <f>600</f>
        <v>600</v>
      </c>
      <c r="D108" s="34">
        <f t="shared" si="1"/>
        <v>0.50620000000000009</v>
      </c>
    </row>
    <row r="109" spans="1:4" ht="15.75" customHeight="1" x14ac:dyDescent="0.2">
      <c r="A109" s="19" t="s">
        <v>101</v>
      </c>
      <c r="B109" s="21">
        <f>70</f>
        <v>70</v>
      </c>
      <c r="C109" s="21">
        <f>500</f>
        <v>500</v>
      </c>
      <c r="D109" s="34">
        <f t="shared" ref="D109:D172" si="2">IF(C109=0,"",(B109)/(C109))</f>
        <v>0.14000000000000001</v>
      </c>
    </row>
    <row r="110" spans="1:4" ht="15.75" customHeight="1" x14ac:dyDescent="0.2">
      <c r="A110" s="19" t="s">
        <v>102</v>
      </c>
      <c r="B110" s="21">
        <f>1876.56</f>
        <v>1876.56</v>
      </c>
      <c r="C110" s="21">
        <f>2500</f>
        <v>2500</v>
      </c>
      <c r="D110" s="34">
        <f t="shared" si="2"/>
        <v>0.75062399999999996</v>
      </c>
    </row>
    <row r="111" spans="1:4" ht="15.75" customHeight="1" x14ac:dyDescent="0.2">
      <c r="A111" s="19" t="s">
        <v>103</v>
      </c>
      <c r="B111" s="21">
        <f>8953.87</f>
        <v>8953.8700000000008</v>
      </c>
      <c r="C111" s="21">
        <f>10000</f>
        <v>10000</v>
      </c>
      <c r="D111" s="34">
        <f t="shared" si="2"/>
        <v>0.89538700000000004</v>
      </c>
    </row>
    <row r="112" spans="1:4" ht="15.75" customHeight="1" x14ac:dyDescent="0.2">
      <c r="A112" s="19" t="s">
        <v>104</v>
      </c>
      <c r="B112" s="20"/>
      <c r="C112" s="21">
        <f>25000</f>
        <v>25000</v>
      </c>
      <c r="D112" s="34">
        <f t="shared" si="2"/>
        <v>0</v>
      </c>
    </row>
    <row r="113" spans="1:4" ht="15.75" customHeight="1" x14ac:dyDescent="0.2">
      <c r="A113" s="19" t="s">
        <v>105</v>
      </c>
      <c r="B113" s="20"/>
      <c r="C113" s="21">
        <f>11000</f>
        <v>11000</v>
      </c>
      <c r="D113" s="34">
        <f t="shared" si="2"/>
        <v>0</v>
      </c>
    </row>
    <row r="114" spans="1:4" ht="15.75" customHeight="1" x14ac:dyDescent="0.2">
      <c r="A114" s="19" t="s">
        <v>106</v>
      </c>
      <c r="B114" s="22">
        <f>(((((((((((((B100)+(B101))+(B102))+(B103))+(B104))+(B105))+(B106))+(B107))+(B108))+(B109))+(B110))+(B111))+(B112))+(B113)</f>
        <v>59598</v>
      </c>
      <c r="C114" s="22">
        <f>(((((((((((((C100)+(C101))+(C102))+(C103))+(C104))+(C105))+(C106))+(C107))+(C108))+(C109))+(C110))+(C111))+(C112))+(C113)</f>
        <v>100500</v>
      </c>
      <c r="D114" s="27">
        <f t="shared" si="2"/>
        <v>0.59301492537313438</v>
      </c>
    </row>
    <row r="115" spans="1:4" ht="15.75" customHeight="1" x14ac:dyDescent="0.2">
      <c r="A115" s="19" t="s">
        <v>107</v>
      </c>
      <c r="B115" s="20"/>
      <c r="C115" s="20"/>
      <c r="D115" s="34" t="str">
        <f t="shared" si="2"/>
        <v/>
      </c>
    </row>
    <row r="116" spans="1:4" ht="15.75" customHeight="1" x14ac:dyDescent="0.2">
      <c r="A116" s="19" t="s">
        <v>108</v>
      </c>
      <c r="B116" s="21">
        <f>3943.58</f>
        <v>3943.58</v>
      </c>
      <c r="C116" s="21">
        <f>9000</f>
        <v>9000</v>
      </c>
      <c r="D116" s="34">
        <f t="shared" si="2"/>
        <v>0.43817555555555554</v>
      </c>
    </row>
    <row r="117" spans="1:4" ht="15.75" customHeight="1" x14ac:dyDescent="0.2">
      <c r="A117" s="19" t="s">
        <v>109</v>
      </c>
      <c r="B117" s="21">
        <f>39503.33</f>
        <v>39503.33</v>
      </c>
      <c r="C117" s="21">
        <f>50000</f>
        <v>50000</v>
      </c>
      <c r="D117" s="34">
        <f t="shared" si="2"/>
        <v>0.79006660000000006</v>
      </c>
    </row>
    <row r="118" spans="1:4" ht="15.75" customHeight="1" x14ac:dyDescent="0.2">
      <c r="A118" s="19" t="s">
        <v>110</v>
      </c>
      <c r="B118" s="21">
        <f>2773.39</f>
        <v>2773.39</v>
      </c>
      <c r="C118" s="21">
        <f>4000</f>
        <v>4000</v>
      </c>
      <c r="D118" s="34">
        <f t="shared" si="2"/>
        <v>0.69334750000000001</v>
      </c>
    </row>
    <row r="119" spans="1:4" ht="15.75" customHeight="1" x14ac:dyDescent="0.2">
      <c r="A119" s="19" t="s">
        <v>111</v>
      </c>
      <c r="B119" s="21">
        <f>400</f>
        <v>400</v>
      </c>
      <c r="C119" s="21">
        <f>500</f>
        <v>500</v>
      </c>
      <c r="D119" s="34">
        <f t="shared" si="2"/>
        <v>0.8</v>
      </c>
    </row>
    <row r="120" spans="1:4" ht="15.75" customHeight="1" x14ac:dyDescent="0.2">
      <c r="A120" s="19" t="s">
        <v>112</v>
      </c>
      <c r="B120" s="21">
        <f>7431.38</f>
        <v>7431.38</v>
      </c>
      <c r="C120" s="21">
        <f>5500</f>
        <v>5500</v>
      </c>
      <c r="D120" s="34">
        <f t="shared" si="2"/>
        <v>1.3511599999999999</v>
      </c>
    </row>
    <row r="121" spans="1:4" ht="15.75" customHeight="1" x14ac:dyDescent="0.2">
      <c r="A121" s="19" t="s">
        <v>113</v>
      </c>
      <c r="B121" s="21">
        <f>1522.86</f>
        <v>1522.86</v>
      </c>
      <c r="C121" s="21">
        <f>700</f>
        <v>700</v>
      </c>
      <c r="D121" s="34">
        <f t="shared" si="2"/>
        <v>2.1755142857142857</v>
      </c>
    </row>
    <row r="122" spans="1:4" ht="15.75" customHeight="1" x14ac:dyDescent="0.2">
      <c r="A122" s="19" t="s">
        <v>114</v>
      </c>
      <c r="B122" s="21">
        <f>3285.2</f>
        <v>3285.2</v>
      </c>
      <c r="C122" s="21">
        <f>4000</f>
        <v>4000</v>
      </c>
      <c r="D122" s="34">
        <f t="shared" si="2"/>
        <v>0.82129999999999992</v>
      </c>
    </row>
    <row r="123" spans="1:4" ht="15.75" customHeight="1" x14ac:dyDescent="0.2">
      <c r="A123" s="19" t="s">
        <v>115</v>
      </c>
      <c r="B123" s="21">
        <f>1347.04</f>
        <v>1347.04</v>
      </c>
      <c r="C123" s="21">
        <f>1000</f>
        <v>1000</v>
      </c>
      <c r="D123" s="34">
        <f t="shared" si="2"/>
        <v>1.34704</v>
      </c>
    </row>
    <row r="124" spans="1:4" ht="15.75" customHeight="1" x14ac:dyDescent="0.2">
      <c r="A124" s="19" t="s">
        <v>116</v>
      </c>
      <c r="B124" s="21">
        <f>1795.19</f>
        <v>1795.19</v>
      </c>
      <c r="C124" s="21">
        <f>1000</f>
        <v>1000</v>
      </c>
      <c r="D124" s="34">
        <f t="shared" si="2"/>
        <v>1.7951900000000001</v>
      </c>
    </row>
    <row r="125" spans="1:4" ht="15.75" customHeight="1" x14ac:dyDescent="0.2">
      <c r="A125" s="19" t="s">
        <v>117</v>
      </c>
      <c r="B125" s="21">
        <f>3973.46</f>
        <v>3973.46</v>
      </c>
      <c r="C125" s="21">
        <f>3000</f>
        <v>3000</v>
      </c>
      <c r="D125" s="34">
        <f t="shared" si="2"/>
        <v>1.3244866666666666</v>
      </c>
    </row>
    <row r="126" spans="1:4" ht="15.75" customHeight="1" x14ac:dyDescent="0.2">
      <c r="A126" s="19" t="s">
        <v>118</v>
      </c>
      <c r="B126" s="22">
        <f>((((((((((B115)+(B116))+(B117))+(B118))+(B119))+(B120))+(B121))+(B122))+(B123))+(B124))+(B125)</f>
        <v>65975.430000000008</v>
      </c>
      <c r="C126" s="22">
        <f>((((((((((C115)+(C116))+(C117))+(C118))+(C119))+(C120))+(C121))+(C122))+(C123))+(C124))+(C125)</f>
        <v>78700</v>
      </c>
      <c r="D126" s="27">
        <f t="shared" si="2"/>
        <v>0.83831550190597215</v>
      </c>
    </row>
    <row r="127" spans="1:4" ht="15.75" customHeight="1" x14ac:dyDescent="0.2">
      <c r="A127" s="19" t="s">
        <v>119</v>
      </c>
      <c r="B127" s="22">
        <f>((B99)+(B114))+(B126)</f>
        <v>125573.43000000001</v>
      </c>
      <c r="C127" s="22">
        <f>((C99)+(C114))+(C126)</f>
        <v>179200</v>
      </c>
      <c r="D127" s="27">
        <f t="shared" si="2"/>
        <v>0.70074458705357145</v>
      </c>
    </row>
    <row r="128" spans="1:4" ht="15.75" customHeight="1" x14ac:dyDescent="0.2">
      <c r="A128" s="19" t="s">
        <v>120</v>
      </c>
      <c r="B128" s="20"/>
      <c r="C128" s="20"/>
      <c r="D128" s="34" t="str">
        <f t="shared" si="2"/>
        <v/>
      </c>
    </row>
    <row r="129" spans="1:4" ht="15.75" customHeight="1" x14ac:dyDescent="0.2">
      <c r="A129" s="19" t="s">
        <v>121</v>
      </c>
      <c r="B129" s="20"/>
      <c r="C129" s="20"/>
      <c r="D129" s="34" t="str">
        <f t="shared" si="2"/>
        <v/>
      </c>
    </row>
    <row r="130" spans="1:4" ht="15.75" customHeight="1" x14ac:dyDescent="0.2">
      <c r="A130" s="19" t="s">
        <v>122</v>
      </c>
      <c r="B130" s="21">
        <f>47420.8</f>
        <v>47420.800000000003</v>
      </c>
      <c r="C130" s="21">
        <f>56098.81</f>
        <v>56098.81</v>
      </c>
      <c r="D130" s="34">
        <f t="shared" si="2"/>
        <v>0.84530848337068121</v>
      </c>
    </row>
    <row r="131" spans="1:4" ht="15.75" customHeight="1" x14ac:dyDescent="0.2">
      <c r="A131" s="19" t="s">
        <v>123</v>
      </c>
      <c r="B131" s="21">
        <f>113145.6</f>
        <v>113145.60000000001</v>
      </c>
      <c r="C131" s="21">
        <f>135964</f>
        <v>135964</v>
      </c>
      <c r="D131" s="34">
        <f t="shared" si="2"/>
        <v>0.83217322232355628</v>
      </c>
    </row>
    <row r="132" spans="1:4" ht="15.75" customHeight="1" x14ac:dyDescent="0.2">
      <c r="A132" s="19" t="s">
        <v>124</v>
      </c>
      <c r="B132" s="21">
        <f>3605.97</f>
        <v>3605.97</v>
      </c>
      <c r="C132" s="21">
        <f>7500</f>
        <v>7500</v>
      </c>
      <c r="D132" s="34">
        <f t="shared" si="2"/>
        <v>0.48079599999999995</v>
      </c>
    </row>
    <row r="133" spans="1:4" ht="15.75" customHeight="1" x14ac:dyDescent="0.2">
      <c r="A133" s="19" t="s">
        <v>125</v>
      </c>
      <c r="B133" s="21">
        <f>30966.8</f>
        <v>30966.799999999999</v>
      </c>
      <c r="C133" s="21">
        <f>43264</f>
        <v>43264</v>
      </c>
      <c r="D133" s="34">
        <f t="shared" si="2"/>
        <v>0.71576368343195262</v>
      </c>
    </row>
    <row r="134" spans="1:4" ht="15.75" customHeight="1" x14ac:dyDescent="0.2">
      <c r="A134" s="19" t="s">
        <v>126</v>
      </c>
      <c r="B134" s="21">
        <f>69949.02</f>
        <v>69949.02</v>
      </c>
      <c r="C134" s="21">
        <f>85646</f>
        <v>85646</v>
      </c>
      <c r="D134" s="34">
        <f t="shared" si="2"/>
        <v>0.81672255563599006</v>
      </c>
    </row>
    <row r="135" spans="1:4" ht="15.75" customHeight="1" x14ac:dyDescent="0.2">
      <c r="A135" s="19" t="s">
        <v>127</v>
      </c>
      <c r="B135" s="21">
        <f>4430.34</f>
        <v>4430.34</v>
      </c>
      <c r="C135" s="21">
        <f>6000</f>
        <v>6000</v>
      </c>
      <c r="D135" s="34">
        <f t="shared" si="2"/>
        <v>0.73838999999999999</v>
      </c>
    </row>
    <row r="136" spans="1:4" ht="15.75" customHeight="1" x14ac:dyDescent="0.2">
      <c r="A136" s="19" t="s">
        <v>128</v>
      </c>
      <c r="B136" s="21">
        <f>11308.59</f>
        <v>11308.59</v>
      </c>
      <c r="C136" s="21">
        <f>15000</f>
        <v>15000</v>
      </c>
      <c r="D136" s="34">
        <f t="shared" si="2"/>
        <v>0.75390599999999997</v>
      </c>
    </row>
    <row r="137" spans="1:4" ht="15.75" customHeight="1" x14ac:dyDescent="0.2">
      <c r="A137" s="19" t="s">
        <v>242</v>
      </c>
      <c r="B137" s="21">
        <f>17677.4</f>
        <v>17677.400000000001</v>
      </c>
      <c r="C137" s="21">
        <f>15000</f>
        <v>15000</v>
      </c>
      <c r="D137" s="34">
        <f t="shared" si="2"/>
        <v>1.1784933333333334</v>
      </c>
    </row>
    <row r="138" spans="1:4" ht="15.75" customHeight="1" x14ac:dyDescent="0.2">
      <c r="A138" s="19" t="s">
        <v>243</v>
      </c>
      <c r="B138" s="21">
        <f>2173.99</f>
        <v>2173.9899999999998</v>
      </c>
      <c r="C138" s="21">
        <f>2500</f>
        <v>2500</v>
      </c>
      <c r="D138" s="34">
        <f t="shared" si="2"/>
        <v>0.86959599999999992</v>
      </c>
    </row>
    <row r="139" spans="1:4" ht="15.75" customHeight="1" x14ac:dyDescent="0.2">
      <c r="A139" s="19" t="s">
        <v>129</v>
      </c>
      <c r="B139" s="21">
        <f>173.16</f>
        <v>173.16</v>
      </c>
      <c r="C139" s="21">
        <f>3000</f>
        <v>3000</v>
      </c>
      <c r="D139" s="34">
        <f t="shared" si="2"/>
        <v>5.772E-2</v>
      </c>
    </row>
    <row r="140" spans="1:4" ht="15.75" customHeight="1" x14ac:dyDescent="0.2">
      <c r="A140" s="19" t="s">
        <v>130</v>
      </c>
      <c r="B140" s="21">
        <f>47714.71</f>
        <v>47714.71</v>
      </c>
      <c r="C140" s="21">
        <f>29000</f>
        <v>29000</v>
      </c>
      <c r="D140" s="34">
        <f t="shared" si="2"/>
        <v>1.645334827586207</v>
      </c>
    </row>
    <row r="141" spans="1:4" ht="15.75" customHeight="1" x14ac:dyDescent="0.2">
      <c r="A141" s="19" t="s">
        <v>131</v>
      </c>
      <c r="B141" s="22">
        <f>(((((((((((B129)+(B130))+(B131))+(B132))+(B133))+(B134))+(B135))+(B136))+(B137))+(B138))+(B139))+(B140)</f>
        <v>348566.38000000006</v>
      </c>
      <c r="C141" s="22">
        <f>(((((((((((C129)+(C130))+(C131))+(C132))+(C133))+(C134))+(C135))+(C136))+(C137))+(C138))+(C139))+(C140)</f>
        <v>398972.81</v>
      </c>
      <c r="D141" s="27">
        <f t="shared" si="2"/>
        <v>0.87365948571783647</v>
      </c>
    </row>
    <row r="142" spans="1:4" ht="15.75" customHeight="1" x14ac:dyDescent="0.2">
      <c r="A142" s="19" t="s">
        <v>132</v>
      </c>
      <c r="B142" s="21">
        <f>262115.11</f>
        <v>262115.11</v>
      </c>
      <c r="C142" s="21">
        <f>320000</f>
        <v>320000</v>
      </c>
      <c r="D142" s="34">
        <f t="shared" si="2"/>
        <v>0.81910971874999994</v>
      </c>
    </row>
    <row r="143" spans="1:4" ht="15.75" customHeight="1" x14ac:dyDescent="0.2">
      <c r="A143" s="19" t="s">
        <v>133</v>
      </c>
      <c r="B143" s="21">
        <f>2373.93</f>
        <v>2373.9299999999998</v>
      </c>
      <c r="C143" s="21">
        <f>3000</f>
        <v>3000</v>
      </c>
      <c r="D143" s="34">
        <f t="shared" si="2"/>
        <v>0.79130999999999996</v>
      </c>
    </row>
    <row r="144" spans="1:4" ht="15.75" customHeight="1" x14ac:dyDescent="0.2">
      <c r="A144" s="19" t="s">
        <v>134</v>
      </c>
      <c r="B144" s="21">
        <f>1865.43</f>
        <v>1865.43</v>
      </c>
      <c r="C144" s="21">
        <f>3000</f>
        <v>3000</v>
      </c>
      <c r="D144" s="34">
        <f t="shared" si="2"/>
        <v>0.62180999999999997</v>
      </c>
    </row>
    <row r="145" spans="1:4" ht="15.75" customHeight="1" x14ac:dyDescent="0.2">
      <c r="A145" s="19" t="s">
        <v>135</v>
      </c>
      <c r="B145" s="21">
        <f>41250</f>
        <v>41250</v>
      </c>
      <c r="C145" s="21">
        <f>80000</f>
        <v>80000</v>
      </c>
      <c r="D145" s="34">
        <f t="shared" si="2"/>
        <v>0.515625</v>
      </c>
    </row>
    <row r="146" spans="1:4" ht="15.75" customHeight="1" x14ac:dyDescent="0.2">
      <c r="A146" s="19" t="s">
        <v>136</v>
      </c>
      <c r="B146" s="21">
        <f>1882.16</f>
        <v>1882.16</v>
      </c>
      <c r="C146" s="21">
        <f>13000</f>
        <v>13000</v>
      </c>
      <c r="D146" s="34">
        <f t="shared" si="2"/>
        <v>0.14478153846153846</v>
      </c>
    </row>
    <row r="147" spans="1:4" ht="15.75" customHeight="1" x14ac:dyDescent="0.2">
      <c r="A147" s="19" t="s">
        <v>137</v>
      </c>
      <c r="B147" s="20"/>
      <c r="C147" s="21">
        <f>6000</f>
        <v>6000</v>
      </c>
      <c r="D147" s="34">
        <f t="shared" si="2"/>
        <v>0</v>
      </c>
    </row>
    <row r="148" spans="1:4" ht="15.75" customHeight="1" x14ac:dyDescent="0.2">
      <c r="A148" s="19" t="s">
        <v>138</v>
      </c>
      <c r="B148" s="21">
        <f>1867.03</f>
        <v>1867.03</v>
      </c>
      <c r="C148" s="21">
        <f>6000</f>
        <v>6000</v>
      </c>
      <c r="D148" s="34">
        <f t="shared" si="2"/>
        <v>0.31117166666666668</v>
      </c>
    </row>
    <row r="149" spans="1:4" ht="15.75" customHeight="1" x14ac:dyDescent="0.2">
      <c r="A149" s="19" t="s">
        <v>139</v>
      </c>
      <c r="B149" s="20"/>
      <c r="C149" s="21">
        <f>15000</f>
        <v>15000</v>
      </c>
      <c r="D149" s="34">
        <f t="shared" si="2"/>
        <v>0</v>
      </c>
    </row>
    <row r="150" spans="1:4" ht="15.75" customHeight="1" x14ac:dyDescent="0.2">
      <c r="A150" s="19" t="s">
        <v>140</v>
      </c>
      <c r="B150" s="22">
        <f>(((((((B142)+(B143))+(B144))+(B145))+(B146))+(B147))+(B148))+(B149)</f>
        <v>311353.65999999997</v>
      </c>
      <c r="C150" s="22">
        <f>(((((((C142)+(C143))+(C144))+(C145))+(C146))+(C147))+(C148))+(C149)</f>
        <v>446000</v>
      </c>
      <c r="D150" s="27">
        <f t="shared" si="2"/>
        <v>0.69810237668161434</v>
      </c>
    </row>
    <row r="151" spans="1:4" ht="15.75" customHeight="1" x14ac:dyDescent="0.2">
      <c r="A151" s="19" t="s">
        <v>247</v>
      </c>
      <c r="B151" s="21">
        <f>4551.35</f>
        <v>4551.3500000000004</v>
      </c>
      <c r="C151" s="21">
        <f>6000</f>
        <v>6000</v>
      </c>
      <c r="D151" s="34">
        <f t="shared" si="2"/>
        <v>0.75855833333333345</v>
      </c>
    </row>
    <row r="152" spans="1:4" ht="15.75" customHeight="1" x14ac:dyDescent="0.2">
      <c r="A152" s="19" t="s">
        <v>141</v>
      </c>
      <c r="B152" s="20"/>
      <c r="C152" s="20"/>
      <c r="D152" s="34" t="str">
        <f t="shared" si="2"/>
        <v/>
      </c>
    </row>
    <row r="153" spans="1:4" ht="15.75" customHeight="1" x14ac:dyDescent="0.2">
      <c r="A153" s="19" t="s">
        <v>142</v>
      </c>
      <c r="B153" s="21">
        <f>829.46</f>
        <v>829.46</v>
      </c>
      <c r="C153" s="21">
        <f>500</f>
        <v>500</v>
      </c>
      <c r="D153" s="34">
        <f t="shared" si="2"/>
        <v>1.6589200000000002</v>
      </c>
    </row>
    <row r="154" spans="1:4" ht="15.75" customHeight="1" x14ac:dyDescent="0.2">
      <c r="A154" s="19" t="s">
        <v>143</v>
      </c>
      <c r="B154" s="22">
        <f>(B152)+(B153)</f>
        <v>829.46</v>
      </c>
      <c r="C154" s="22">
        <f>(C152)+(C153)</f>
        <v>500</v>
      </c>
      <c r="D154" s="27">
        <f t="shared" si="2"/>
        <v>1.6589200000000002</v>
      </c>
    </row>
    <row r="155" spans="1:4" ht="15.75" customHeight="1" x14ac:dyDescent="0.2">
      <c r="A155" s="19" t="s">
        <v>144</v>
      </c>
      <c r="B155" s="22">
        <f>((((B128)+(B141))+(B150))+(B151))+(B154)</f>
        <v>665300.85</v>
      </c>
      <c r="C155" s="22">
        <f>((((C128)+(C141))+(C150))+(C151))+(C154)</f>
        <v>851472.81</v>
      </c>
      <c r="D155" s="27">
        <f t="shared" si="2"/>
        <v>0.78135301818974101</v>
      </c>
    </row>
    <row r="156" spans="1:4" ht="15.75" customHeight="1" x14ac:dyDescent="0.2">
      <c r="A156" s="19" t="s">
        <v>145</v>
      </c>
      <c r="B156" s="20"/>
      <c r="C156" s="20"/>
      <c r="D156" s="34" t="str">
        <f t="shared" si="2"/>
        <v/>
      </c>
    </row>
    <row r="157" spans="1:4" ht="15.75" customHeight="1" x14ac:dyDescent="0.2">
      <c r="A157" s="19" t="s">
        <v>146</v>
      </c>
      <c r="B157" s="21">
        <f>90</f>
        <v>90</v>
      </c>
      <c r="C157" s="21">
        <f>300</f>
        <v>300</v>
      </c>
      <c r="D157" s="34">
        <f t="shared" si="2"/>
        <v>0.3</v>
      </c>
    </row>
    <row r="158" spans="1:4" ht="15.75" customHeight="1" x14ac:dyDescent="0.2">
      <c r="A158" s="19" t="s">
        <v>147</v>
      </c>
      <c r="B158" s="21">
        <f>2635</f>
        <v>2635</v>
      </c>
      <c r="C158" s="21">
        <f>4000</f>
        <v>4000</v>
      </c>
      <c r="D158" s="34">
        <f t="shared" si="2"/>
        <v>0.65874999999999995</v>
      </c>
    </row>
    <row r="159" spans="1:4" ht="15.75" customHeight="1" x14ac:dyDescent="0.2">
      <c r="A159" s="19" t="s">
        <v>148</v>
      </c>
      <c r="B159" s="22">
        <f>((B156)+(B157))+(B158)</f>
        <v>2725</v>
      </c>
      <c r="C159" s="22">
        <f>((C156)+(C157))+(C158)</f>
        <v>4300</v>
      </c>
      <c r="D159" s="27">
        <f t="shared" si="2"/>
        <v>0.63372093023255816</v>
      </c>
    </row>
    <row r="160" spans="1:4" ht="15.75" customHeight="1" x14ac:dyDescent="0.2">
      <c r="A160" s="19" t="s">
        <v>149</v>
      </c>
      <c r="B160" s="20"/>
      <c r="C160" s="20"/>
      <c r="D160" s="34" t="str">
        <f t="shared" si="2"/>
        <v/>
      </c>
    </row>
    <row r="161" spans="1:4" ht="15.75" customHeight="1" x14ac:dyDescent="0.2">
      <c r="A161" s="19" t="s">
        <v>150</v>
      </c>
      <c r="B161" s="21">
        <f>22629</f>
        <v>22629</v>
      </c>
      <c r="C161" s="21">
        <f>22629</f>
        <v>22629</v>
      </c>
      <c r="D161" s="34">
        <f t="shared" si="2"/>
        <v>1</v>
      </c>
    </row>
    <row r="162" spans="1:4" ht="15.75" customHeight="1" x14ac:dyDescent="0.2">
      <c r="A162" s="19" t="s">
        <v>151</v>
      </c>
      <c r="B162" s="21">
        <f>9711.23</f>
        <v>9711.23</v>
      </c>
      <c r="C162" s="21">
        <f>12000</f>
        <v>12000</v>
      </c>
      <c r="D162" s="34">
        <f t="shared" si="2"/>
        <v>0.8092691666666666</v>
      </c>
    </row>
    <row r="163" spans="1:4" ht="15.75" customHeight="1" x14ac:dyDescent="0.2">
      <c r="A163" s="19" t="s">
        <v>283</v>
      </c>
      <c r="B163" s="21">
        <f>198</f>
        <v>198</v>
      </c>
      <c r="C163" s="21">
        <f>750</f>
        <v>750</v>
      </c>
      <c r="D163" s="34">
        <f t="shared" si="2"/>
        <v>0.26400000000000001</v>
      </c>
    </row>
    <row r="164" spans="1:4" ht="15.75" customHeight="1" x14ac:dyDescent="0.2">
      <c r="A164" s="19" t="s">
        <v>152</v>
      </c>
      <c r="B164" s="21">
        <f>32677.13</f>
        <v>32677.13</v>
      </c>
      <c r="C164" s="21">
        <f>10815</f>
        <v>10815</v>
      </c>
      <c r="D164" s="34">
        <f t="shared" si="2"/>
        <v>3.0214637078132225</v>
      </c>
    </row>
    <row r="165" spans="1:4" ht="15.75" customHeight="1" x14ac:dyDescent="0.2">
      <c r="A165" s="19" t="s">
        <v>153</v>
      </c>
      <c r="B165" s="22">
        <f>((((B160)+(B161))+(B162))+(B163))+(B164)</f>
        <v>65215.360000000001</v>
      </c>
      <c r="C165" s="22">
        <f>((((C160)+(C161))+(C162))+(C163))+(C164)</f>
        <v>46194</v>
      </c>
      <c r="D165" s="27">
        <f t="shared" si="2"/>
        <v>1.4117712257003074</v>
      </c>
    </row>
    <row r="166" spans="1:4" ht="15.75" customHeight="1" x14ac:dyDescent="0.2">
      <c r="A166" s="19" t="s">
        <v>154</v>
      </c>
      <c r="B166" s="20"/>
      <c r="C166" s="20"/>
      <c r="D166" s="34" t="str">
        <f t="shared" si="2"/>
        <v/>
      </c>
    </row>
    <row r="167" spans="1:4" ht="15.75" customHeight="1" x14ac:dyDescent="0.2">
      <c r="A167" s="19" t="s">
        <v>155</v>
      </c>
      <c r="B167" s="21">
        <f>13500</f>
        <v>13500</v>
      </c>
      <c r="C167" s="21">
        <f>13500</f>
        <v>13500</v>
      </c>
      <c r="D167" s="34">
        <f t="shared" si="2"/>
        <v>1</v>
      </c>
    </row>
    <row r="168" spans="1:4" ht="15.75" customHeight="1" x14ac:dyDescent="0.2">
      <c r="A168" s="19" t="s">
        <v>156</v>
      </c>
      <c r="B168" s="21">
        <f>204.13</f>
        <v>204.13</v>
      </c>
      <c r="C168" s="21">
        <f>300</f>
        <v>300</v>
      </c>
      <c r="D168" s="34">
        <f t="shared" si="2"/>
        <v>0.68043333333333333</v>
      </c>
    </row>
    <row r="169" spans="1:4" ht="15.75" customHeight="1" x14ac:dyDescent="0.2">
      <c r="A169" s="19" t="s">
        <v>157</v>
      </c>
      <c r="B169" s="22">
        <f>((B166)+(B167))+(B168)</f>
        <v>13704.13</v>
      </c>
      <c r="C169" s="22">
        <f>((C166)+(C167))+(C168)</f>
        <v>13800</v>
      </c>
      <c r="D169" s="27">
        <f t="shared" si="2"/>
        <v>0.99305289855072454</v>
      </c>
    </row>
    <row r="170" spans="1:4" ht="15.75" customHeight="1" x14ac:dyDescent="0.2">
      <c r="A170" s="19" t="s">
        <v>158</v>
      </c>
      <c r="B170" s="20"/>
      <c r="C170" s="20"/>
      <c r="D170" s="34" t="str">
        <f t="shared" si="2"/>
        <v/>
      </c>
    </row>
    <row r="171" spans="1:4" ht="15.75" customHeight="1" x14ac:dyDescent="0.2">
      <c r="A171" s="19" t="s">
        <v>159</v>
      </c>
      <c r="B171" s="20"/>
      <c r="C171" s="21">
        <f>10000</f>
        <v>10000</v>
      </c>
      <c r="D171" s="34">
        <f t="shared" si="2"/>
        <v>0</v>
      </c>
    </row>
    <row r="172" spans="1:4" ht="15.75" customHeight="1" x14ac:dyDescent="0.2">
      <c r="A172" s="19" t="s">
        <v>160</v>
      </c>
      <c r="B172" s="20"/>
      <c r="C172" s="21">
        <f>2000</f>
        <v>2000</v>
      </c>
      <c r="D172" s="34">
        <f t="shared" si="2"/>
        <v>0</v>
      </c>
    </row>
    <row r="173" spans="1:4" ht="15.75" customHeight="1" x14ac:dyDescent="0.2">
      <c r="A173" s="19" t="s">
        <v>161</v>
      </c>
      <c r="B173" s="21">
        <f>304877.75</f>
        <v>304877.75</v>
      </c>
      <c r="C173" s="21">
        <f>530000</f>
        <v>530000</v>
      </c>
      <c r="D173" s="34">
        <f t="shared" ref="D173:D200" si="3">IF(C173=0,"",(B173)/(C173))</f>
        <v>0.575241037735849</v>
      </c>
    </row>
    <row r="174" spans="1:4" ht="15.75" customHeight="1" x14ac:dyDescent="0.2">
      <c r="A174" s="19" t="s">
        <v>162</v>
      </c>
      <c r="B174" s="22">
        <f>(((B170)+(B171))+(B172))+(B173)</f>
        <v>304877.75</v>
      </c>
      <c r="C174" s="22">
        <f>(((C170)+(C171))+(C172))+(C173)</f>
        <v>542000</v>
      </c>
      <c r="D174" s="27">
        <f t="shared" si="3"/>
        <v>0.562505073800738</v>
      </c>
    </row>
    <row r="175" spans="1:4" ht="15.75" customHeight="1" x14ac:dyDescent="0.2">
      <c r="A175" s="19" t="s">
        <v>163</v>
      </c>
      <c r="B175" s="20"/>
      <c r="C175" s="20"/>
      <c r="D175" s="34" t="str">
        <f t="shared" si="3"/>
        <v/>
      </c>
    </row>
    <row r="176" spans="1:4" ht="15.75" customHeight="1" x14ac:dyDescent="0.2">
      <c r="A176" s="19" t="s">
        <v>164</v>
      </c>
      <c r="B176" s="20"/>
      <c r="C176" s="20"/>
      <c r="D176" s="34" t="str">
        <f t="shared" si="3"/>
        <v/>
      </c>
    </row>
    <row r="177" spans="1:4" ht="15.75" customHeight="1" x14ac:dyDescent="0.2">
      <c r="A177" s="19" t="s">
        <v>272</v>
      </c>
      <c r="B177" s="21">
        <f>28974.58</f>
        <v>28974.58</v>
      </c>
      <c r="C177" s="21">
        <f>28975</f>
        <v>28975</v>
      </c>
      <c r="D177" s="34">
        <f t="shared" si="3"/>
        <v>0.99998550474547032</v>
      </c>
    </row>
    <row r="178" spans="1:4" ht="15.75" customHeight="1" x14ac:dyDescent="0.2">
      <c r="A178" s="19" t="s">
        <v>284</v>
      </c>
      <c r="B178" s="21">
        <f>72910.22</f>
        <v>72910.22</v>
      </c>
      <c r="C178" s="21">
        <f>1</f>
        <v>1</v>
      </c>
      <c r="D178" s="34">
        <f t="shared" si="3"/>
        <v>72910.22</v>
      </c>
    </row>
    <row r="179" spans="1:4" ht="15.75" customHeight="1" x14ac:dyDescent="0.2">
      <c r="A179" s="19" t="s">
        <v>285</v>
      </c>
      <c r="B179" s="21">
        <f>34519.3</f>
        <v>34519.300000000003</v>
      </c>
      <c r="C179" s="21">
        <f>1</f>
        <v>1</v>
      </c>
      <c r="D179" s="34">
        <f t="shared" si="3"/>
        <v>34519.300000000003</v>
      </c>
    </row>
    <row r="180" spans="1:4" ht="15.75" customHeight="1" x14ac:dyDescent="0.2">
      <c r="A180" s="19" t="s">
        <v>273</v>
      </c>
      <c r="B180" s="21">
        <f>23179.66</f>
        <v>23179.66</v>
      </c>
      <c r="C180" s="21">
        <f>23180</f>
        <v>23180</v>
      </c>
      <c r="D180" s="34">
        <f t="shared" si="3"/>
        <v>0.9999853321829163</v>
      </c>
    </row>
    <row r="181" spans="1:4" ht="15.75" customHeight="1" x14ac:dyDescent="0.2">
      <c r="A181" s="19" t="s">
        <v>274</v>
      </c>
      <c r="B181" s="21">
        <f>37087.47</f>
        <v>37087.47</v>
      </c>
      <c r="C181" s="21">
        <f>37088</f>
        <v>37088</v>
      </c>
      <c r="D181" s="34">
        <f t="shared" si="3"/>
        <v>0.99998570966350309</v>
      </c>
    </row>
    <row r="182" spans="1:4" ht="15.75" customHeight="1" x14ac:dyDescent="0.2">
      <c r="A182" s="19" t="s">
        <v>286</v>
      </c>
      <c r="B182" s="21">
        <f>15618.84</f>
        <v>15618.84</v>
      </c>
      <c r="C182" s="21">
        <f>1</f>
        <v>1</v>
      </c>
      <c r="D182" s="34">
        <f t="shared" si="3"/>
        <v>15618.84</v>
      </c>
    </row>
    <row r="183" spans="1:4" ht="15.75" customHeight="1" x14ac:dyDescent="0.2">
      <c r="A183" s="19" t="s">
        <v>165</v>
      </c>
      <c r="B183" s="21">
        <f>20253.81</f>
        <v>20253.810000000001</v>
      </c>
      <c r="C183" s="21">
        <f>18809</f>
        <v>18809</v>
      </c>
      <c r="D183" s="34">
        <f t="shared" si="3"/>
        <v>1.0768148226912648</v>
      </c>
    </row>
    <row r="184" spans="1:4" ht="15.75" customHeight="1" x14ac:dyDescent="0.2">
      <c r="A184" s="19" t="s">
        <v>262</v>
      </c>
      <c r="B184" s="21">
        <f>47793.79</f>
        <v>47793.79</v>
      </c>
      <c r="C184" s="21">
        <f>47783</f>
        <v>47783</v>
      </c>
      <c r="D184" s="34">
        <f t="shared" si="3"/>
        <v>1.0002258125274679</v>
      </c>
    </row>
    <row r="185" spans="1:4" ht="15.75" customHeight="1" x14ac:dyDescent="0.2">
      <c r="A185" s="19" t="s">
        <v>166</v>
      </c>
      <c r="B185" s="22">
        <f>((((((((B176)+(B177))+(B178))+(B179))+(B180))+(B181))+(B182))+(B183))+(B184)</f>
        <v>280337.67</v>
      </c>
      <c r="C185" s="22">
        <f>((((((((C176)+(C177))+(C178))+(C179))+(C180))+(C181))+(C182))+(C183))+(C184)</f>
        <v>155838</v>
      </c>
      <c r="D185" s="27">
        <f t="shared" si="3"/>
        <v>1.7989044392253493</v>
      </c>
    </row>
    <row r="186" spans="1:4" ht="15.75" customHeight="1" x14ac:dyDescent="0.2">
      <c r="A186" s="19" t="s">
        <v>167</v>
      </c>
      <c r="B186" s="20"/>
      <c r="C186" s="20"/>
      <c r="D186" s="34" t="str">
        <f t="shared" si="3"/>
        <v/>
      </c>
    </row>
    <row r="187" spans="1:4" ht="15.75" customHeight="1" x14ac:dyDescent="0.2">
      <c r="A187" s="19" t="s">
        <v>168</v>
      </c>
      <c r="B187" s="21">
        <f>8997.81</f>
        <v>8997.81</v>
      </c>
      <c r="C187" s="21">
        <f>5958</f>
        <v>5958</v>
      </c>
      <c r="D187" s="34">
        <f t="shared" si="3"/>
        <v>1.5102064451158106</v>
      </c>
    </row>
    <row r="188" spans="1:4" ht="15.75" customHeight="1" x14ac:dyDescent="0.2">
      <c r="A188" s="19" t="s">
        <v>275</v>
      </c>
      <c r="B188" s="21">
        <f>4648.97</f>
        <v>4648.97</v>
      </c>
      <c r="C188" s="21">
        <f>4649</f>
        <v>4649</v>
      </c>
      <c r="D188" s="34">
        <f t="shared" si="3"/>
        <v>0.99999354699935472</v>
      </c>
    </row>
    <row r="189" spans="1:4" ht="15.75" customHeight="1" x14ac:dyDescent="0.2">
      <c r="A189" s="19" t="s">
        <v>169</v>
      </c>
      <c r="B189" s="21">
        <f>7859.02</f>
        <v>7859.02</v>
      </c>
      <c r="C189" s="21">
        <f>4494</f>
        <v>4494</v>
      </c>
      <c r="D189" s="34">
        <f t="shared" si="3"/>
        <v>1.7487805963506899</v>
      </c>
    </row>
    <row r="190" spans="1:4" ht="15.75" customHeight="1" x14ac:dyDescent="0.2">
      <c r="A190" s="19" t="s">
        <v>276</v>
      </c>
      <c r="B190" s="20"/>
      <c r="C190" s="21">
        <f>2848</f>
        <v>2848</v>
      </c>
      <c r="D190" s="34">
        <f t="shared" si="3"/>
        <v>0</v>
      </c>
    </row>
    <row r="191" spans="1:4" ht="15.75" customHeight="1" x14ac:dyDescent="0.2">
      <c r="A191" s="19" t="s">
        <v>170</v>
      </c>
      <c r="B191" s="21">
        <f>3875.98</f>
        <v>3875.98</v>
      </c>
      <c r="C191" s="21">
        <f>3455</f>
        <v>3455</v>
      </c>
      <c r="D191" s="34">
        <f t="shared" si="3"/>
        <v>1.1218465991316933</v>
      </c>
    </row>
    <row r="192" spans="1:4" ht="15.75" customHeight="1" x14ac:dyDescent="0.2">
      <c r="A192" s="19" t="s">
        <v>277</v>
      </c>
      <c r="B192" s="21">
        <f>3719.18</f>
        <v>3719.18</v>
      </c>
      <c r="C192" s="21">
        <f>3719</f>
        <v>3719</v>
      </c>
      <c r="D192" s="34">
        <f t="shared" si="3"/>
        <v>1.0000484001075558</v>
      </c>
    </row>
    <row r="193" spans="1:4" ht="15.75" customHeight="1" x14ac:dyDescent="0.2">
      <c r="A193" s="19" t="s">
        <v>278</v>
      </c>
      <c r="B193" s="21">
        <f>5950.68</f>
        <v>5950.68</v>
      </c>
      <c r="C193" s="21">
        <f>5951</f>
        <v>5951</v>
      </c>
      <c r="D193" s="34">
        <f t="shared" si="3"/>
        <v>0.99994622752478579</v>
      </c>
    </row>
    <row r="194" spans="1:4" ht="15.75" customHeight="1" x14ac:dyDescent="0.2">
      <c r="A194" s="19" t="s">
        <v>171</v>
      </c>
      <c r="B194" s="21">
        <f>1753.76</f>
        <v>1753.76</v>
      </c>
      <c r="C194" s="21">
        <f>1573</f>
        <v>1573</v>
      </c>
      <c r="D194" s="34">
        <f t="shared" si="3"/>
        <v>1.1149141767323585</v>
      </c>
    </row>
    <row r="195" spans="1:4" ht="15.75" customHeight="1" x14ac:dyDescent="0.2">
      <c r="A195" s="19" t="s">
        <v>172</v>
      </c>
      <c r="B195" s="22">
        <f>((((((((B186)+(B187))+(B188))+(B189))+(B190))+(B191))+(B192))+(B193))+(B194)</f>
        <v>36805.4</v>
      </c>
      <c r="C195" s="22">
        <f>((((((((C186)+(C187))+(C188))+(C189))+(C190))+(C191))+(C192))+(C193))+(C194)</f>
        <v>32647</v>
      </c>
      <c r="D195" s="27">
        <f t="shared" si="3"/>
        <v>1.1273746439182775</v>
      </c>
    </row>
    <row r="196" spans="1:4" ht="15.75" customHeight="1" x14ac:dyDescent="0.2">
      <c r="A196" s="19" t="s">
        <v>173</v>
      </c>
      <c r="B196" s="22">
        <f>((B175)+(B185))+(B195)</f>
        <v>317143.07</v>
      </c>
      <c r="C196" s="22">
        <f>((C175)+(C185))+(C195)</f>
        <v>188485</v>
      </c>
      <c r="D196" s="27">
        <f t="shared" si="3"/>
        <v>1.6825904979176063</v>
      </c>
    </row>
    <row r="197" spans="1:4" ht="15.75" customHeight="1" x14ac:dyDescent="0.2">
      <c r="A197" s="19" t="s">
        <v>279</v>
      </c>
      <c r="B197" s="20"/>
      <c r="C197" s="21">
        <f>30000</f>
        <v>30000</v>
      </c>
      <c r="D197" s="34">
        <f t="shared" si="3"/>
        <v>0</v>
      </c>
    </row>
    <row r="198" spans="1:4" ht="15.75" customHeight="1" x14ac:dyDescent="0.2">
      <c r="A198" s="19" t="s">
        <v>174</v>
      </c>
      <c r="B198" s="22">
        <f>((((((((B98)+(B127))+(B155))+(B159))+(B165))+(B169))+(B174))+(B196))+(B197)</f>
        <v>1733408.05</v>
      </c>
      <c r="C198" s="22">
        <f>((((((((C98)+(C127))+(C155))+(C159))+(C165))+(C169))+(C174))+(C196))+(C197)</f>
        <v>2135841.81</v>
      </c>
      <c r="D198" s="27">
        <f t="shared" si="3"/>
        <v>0.8115807275071556</v>
      </c>
    </row>
    <row r="199" spans="1:4" ht="15.75" customHeight="1" x14ac:dyDescent="0.2">
      <c r="A199" s="19" t="s">
        <v>175</v>
      </c>
      <c r="B199" s="22">
        <f>(B43)-(B198)</f>
        <v>-811066.74</v>
      </c>
      <c r="C199" s="22">
        <f>(C43)-(C198)</f>
        <v>-1229997.81</v>
      </c>
      <c r="D199" s="27">
        <f t="shared" si="3"/>
        <v>0.65940502772114684</v>
      </c>
    </row>
    <row r="200" spans="1:4" ht="15.75" customHeight="1" x14ac:dyDescent="0.2">
      <c r="A200" s="19" t="s">
        <v>176</v>
      </c>
      <c r="B200" s="22">
        <f>(B199)+(0)</f>
        <v>-811066.74</v>
      </c>
      <c r="C200" s="22">
        <f>(C199)+(0)</f>
        <v>-1229997.81</v>
      </c>
      <c r="D200" s="27">
        <f t="shared" si="3"/>
        <v>0.65940502772114684</v>
      </c>
    </row>
    <row r="201" spans="1:4" ht="15.75" customHeight="1" x14ac:dyDescent="0.2">
      <c r="A201" s="19"/>
      <c r="B201" s="20"/>
      <c r="C201" s="20"/>
      <c r="D201" s="20"/>
    </row>
    <row r="202" spans="1:4" ht="15.75" customHeight="1" x14ac:dyDescent="0.2">
      <c r="A202" s="45"/>
      <c r="B202" s="45"/>
      <c r="C202" s="45"/>
      <c r="D202" s="45"/>
    </row>
    <row r="203" spans="1:4" ht="15.75" customHeight="1" x14ac:dyDescent="0.2">
      <c r="A203" s="45"/>
      <c r="B203" s="45"/>
      <c r="C203" s="45"/>
      <c r="D203" s="45"/>
    </row>
    <row r="204" spans="1:4" ht="15.75" customHeight="1" x14ac:dyDescent="0.2">
      <c r="A204" s="48" t="s">
        <v>320</v>
      </c>
      <c r="B204" s="49"/>
      <c r="C204" s="49"/>
      <c r="D204" s="49"/>
    </row>
    <row r="205" spans="1:4" ht="15.75" customHeight="1" x14ac:dyDescent="0.2">
      <c r="A205" s="19"/>
      <c r="B205" s="22"/>
      <c r="C205" s="22"/>
      <c r="D205" s="27"/>
    </row>
    <row r="206" spans="1:4" ht="15.75" customHeight="1" x14ac:dyDescent="0.2">
      <c r="A206" s="19"/>
      <c r="B206" s="20"/>
      <c r="C206" s="20"/>
      <c r="D206" s="20"/>
    </row>
    <row r="207" spans="1:4" ht="15.75" customHeight="1" x14ac:dyDescent="0.2">
      <c r="A207" s="25"/>
      <c r="B207" s="25"/>
      <c r="C207" s="25"/>
      <c r="D207" s="25"/>
    </row>
    <row r="208" spans="1:4" ht="15.75" customHeight="1" x14ac:dyDescent="0.2">
      <c r="A208" s="25"/>
      <c r="B208" s="25"/>
      <c r="C208" s="25"/>
      <c r="D208" s="25"/>
    </row>
    <row r="209" spans="1:4" ht="15.75" customHeight="1" x14ac:dyDescent="0.2">
      <c r="A209" s="48"/>
      <c r="B209" s="49"/>
      <c r="C209" s="49"/>
      <c r="D209" s="49"/>
    </row>
    <row r="210" spans="1:4" ht="15.75" customHeight="1" x14ac:dyDescent="0.2"/>
    <row r="211" spans="1:4" ht="15.75" customHeight="1" x14ac:dyDescent="0.2"/>
    <row r="212" spans="1:4" ht="15.75" customHeight="1" x14ac:dyDescent="0.2"/>
    <row r="213" spans="1:4" ht="15.75" customHeight="1" x14ac:dyDescent="0.2"/>
    <row r="214" spans="1:4" ht="15.75" customHeight="1" x14ac:dyDescent="0.2"/>
    <row r="215" spans="1:4" ht="15.75" customHeight="1" x14ac:dyDescent="0.2"/>
    <row r="216" spans="1:4" ht="15.75" customHeight="1" x14ac:dyDescent="0.2"/>
    <row r="217" spans="1:4" ht="15.75" customHeight="1" x14ac:dyDescent="0.2"/>
    <row r="218" spans="1:4" ht="15.75" customHeight="1" x14ac:dyDescent="0.2"/>
    <row r="219" spans="1:4" ht="15.75" customHeight="1" x14ac:dyDescent="0.2"/>
    <row r="220" spans="1:4" ht="15.75" customHeight="1" x14ac:dyDescent="0.2"/>
    <row r="221" spans="1:4" ht="15.75" customHeight="1" x14ac:dyDescent="0.2"/>
    <row r="222" spans="1:4" ht="15.75" customHeight="1" x14ac:dyDescent="0.2"/>
    <row r="223" spans="1:4" ht="15.75" customHeight="1" x14ac:dyDescent="0.2"/>
    <row r="224" spans="1: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hidden="1" customHeight="1" x14ac:dyDescent="0.2"/>
    <row r="245" ht="14.25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209:D209"/>
    <mergeCell ref="A1:D1"/>
    <mergeCell ref="A2:D2"/>
    <mergeCell ref="A3:D3"/>
    <mergeCell ref="B5:D5"/>
    <mergeCell ref="A204:D204"/>
  </mergeCells>
  <printOptions gridLines="1"/>
  <pageMargins left="0.4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topLeftCell="A80" workbookViewId="0">
      <selection sqref="A1:H96"/>
    </sheetView>
  </sheetViews>
  <sheetFormatPr defaultColWidth="12.625" defaultRowHeight="15" customHeight="1" x14ac:dyDescent="0.2"/>
  <cols>
    <col min="1" max="1" width="2.375" customWidth="1"/>
    <col min="2" max="2" width="9.5" style="23" customWidth="1"/>
    <col min="3" max="3" width="8" customWidth="1"/>
    <col min="4" max="4" width="7.125" customWidth="1"/>
    <col min="5" max="5" width="22.625" customWidth="1"/>
    <col min="6" max="6" width="33.875" style="26" customWidth="1"/>
    <col min="7" max="7" width="45.5" style="26" customWidth="1"/>
    <col min="8" max="8" width="8.625" customWidth="1"/>
    <col min="9" max="26" width="7.625" customWidth="1"/>
  </cols>
  <sheetData>
    <row r="1" spans="1:8" ht="18" x14ac:dyDescent="0.25">
      <c r="A1" s="50" t="s">
        <v>0</v>
      </c>
      <c r="B1" s="49"/>
      <c r="C1" s="49"/>
      <c r="D1" s="49"/>
      <c r="E1" s="49"/>
      <c r="F1" s="49"/>
      <c r="G1" s="49"/>
      <c r="H1" s="49"/>
    </row>
    <row r="2" spans="1:8" ht="18" x14ac:dyDescent="0.25">
      <c r="A2" s="50" t="s">
        <v>177</v>
      </c>
      <c r="B2" s="49"/>
      <c r="C2" s="49"/>
      <c r="D2" s="49"/>
      <c r="E2" s="49"/>
      <c r="F2" s="49"/>
      <c r="G2" s="49"/>
      <c r="H2" s="49"/>
    </row>
    <row r="3" spans="1:8" ht="14.25" x14ac:dyDescent="0.2">
      <c r="A3" s="51" t="s">
        <v>321</v>
      </c>
      <c r="B3" s="49"/>
      <c r="C3" s="49"/>
      <c r="D3" s="49"/>
      <c r="E3" s="49"/>
      <c r="F3" s="49"/>
      <c r="G3" s="49"/>
      <c r="H3" s="49"/>
    </row>
    <row r="4" spans="1:8" ht="14.25" x14ac:dyDescent="0.2">
      <c r="A4" s="45"/>
      <c r="B4" s="45"/>
      <c r="C4" s="45"/>
      <c r="D4" s="45"/>
      <c r="E4" s="45"/>
      <c r="F4" s="45"/>
      <c r="G4" s="45"/>
      <c r="H4" s="45"/>
    </row>
    <row r="5" spans="1:8" ht="19.5" customHeight="1" x14ac:dyDescent="0.2">
      <c r="A5" s="45"/>
      <c r="B5" s="46" t="s">
        <v>178</v>
      </c>
      <c r="C5" s="46" t="s">
        <v>179</v>
      </c>
      <c r="D5" s="46" t="s">
        <v>180</v>
      </c>
      <c r="E5" s="46" t="s">
        <v>181</v>
      </c>
      <c r="F5" s="46" t="s">
        <v>182</v>
      </c>
      <c r="G5" s="46" t="s">
        <v>183</v>
      </c>
      <c r="H5" s="46" t="s">
        <v>184</v>
      </c>
    </row>
    <row r="6" spans="1:8" s="29" customFormat="1" ht="20.100000000000001" customHeight="1" x14ac:dyDescent="0.2">
      <c r="A6" s="45"/>
      <c r="B6" s="31" t="s">
        <v>322</v>
      </c>
      <c r="C6" s="31" t="s">
        <v>187</v>
      </c>
      <c r="D6" s="31">
        <v>3448</v>
      </c>
      <c r="E6" s="31" t="s">
        <v>202</v>
      </c>
      <c r="F6" s="31" t="s">
        <v>323</v>
      </c>
      <c r="G6" s="31" t="s">
        <v>255</v>
      </c>
      <c r="H6" s="21">
        <v>-168.2</v>
      </c>
    </row>
    <row r="7" spans="1:8" s="29" customFormat="1" ht="20.100000000000001" customHeight="1" x14ac:dyDescent="0.2">
      <c r="A7" s="45"/>
      <c r="B7" s="31" t="s">
        <v>322</v>
      </c>
      <c r="C7" s="31" t="s">
        <v>187</v>
      </c>
      <c r="D7" s="31">
        <v>3449</v>
      </c>
      <c r="E7" s="31" t="s">
        <v>190</v>
      </c>
      <c r="F7" s="31" t="s">
        <v>324</v>
      </c>
      <c r="G7" s="32" t="s">
        <v>186</v>
      </c>
      <c r="H7" s="21">
        <v>-3112.21</v>
      </c>
    </row>
    <row r="8" spans="1:8" s="29" customFormat="1" ht="20.100000000000001" customHeight="1" x14ac:dyDescent="0.2">
      <c r="A8" s="45"/>
      <c r="B8" s="31" t="s">
        <v>322</v>
      </c>
      <c r="C8" s="31" t="s">
        <v>187</v>
      </c>
      <c r="D8" s="31">
        <v>3450</v>
      </c>
      <c r="E8" s="31" t="s">
        <v>325</v>
      </c>
      <c r="F8" s="31" t="s">
        <v>326</v>
      </c>
      <c r="G8" s="31" t="s">
        <v>327</v>
      </c>
      <c r="H8" s="21">
        <v>-104.84</v>
      </c>
    </row>
    <row r="9" spans="1:8" s="29" customFormat="1" ht="20.100000000000001" customHeight="1" x14ac:dyDescent="0.2">
      <c r="A9" s="45"/>
      <c r="B9" s="31" t="s">
        <v>322</v>
      </c>
      <c r="C9" s="31" t="s">
        <v>187</v>
      </c>
      <c r="D9" s="31">
        <v>3451</v>
      </c>
      <c r="E9" s="31" t="s">
        <v>194</v>
      </c>
      <c r="F9" s="31" t="s">
        <v>328</v>
      </c>
      <c r="G9" s="32" t="s">
        <v>186</v>
      </c>
      <c r="H9" s="21">
        <v>-362.23</v>
      </c>
    </row>
    <row r="10" spans="1:8" s="29" customFormat="1" ht="20.100000000000001" customHeight="1" x14ac:dyDescent="0.2">
      <c r="A10" s="45"/>
      <c r="B10" s="31" t="s">
        <v>322</v>
      </c>
      <c r="C10" s="31" t="s">
        <v>187</v>
      </c>
      <c r="D10" s="31">
        <v>3452</v>
      </c>
      <c r="E10" s="31" t="s">
        <v>245</v>
      </c>
      <c r="F10" s="31" t="s">
        <v>329</v>
      </c>
      <c r="G10" s="31" t="s">
        <v>299</v>
      </c>
      <c r="H10" s="21">
        <v>-17.23</v>
      </c>
    </row>
    <row r="11" spans="1:8" s="29" customFormat="1" ht="20.100000000000001" customHeight="1" x14ac:dyDescent="0.2">
      <c r="A11" s="45"/>
      <c r="B11" s="31" t="s">
        <v>322</v>
      </c>
      <c r="C11" s="31" t="s">
        <v>187</v>
      </c>
      <c r="D11" s="31">
        <v>3453</v>
      </c>
      <c r="E11" s="31" t="s">
        <v>245</v>
      </c>
      <c r="F11" s="31" t="s">
        <v>330</v>
      </c>
      <c r="G11" s="32" t="s">
        <v>186</v>
      </c>
      <c r="H11" s="21">
        <v>-1541.12</v>
      </c>
    </row>
    <row r="12" spans="1:8" s="29" customFormat="1" ht="20.100000000000001" customHeight="1" x14ac:dyDescent="0.2">
      <c r="A12" s="45"/>
      <c r="B12" s="31" t="s">
        <v>322</v>
      </c>
      <c r="C12" s="31" t="s">
        <v>187</v>
      </c>
      <c r="D12" s="31">
        <v>3454</v>
      </c>
      <c r="E12" s="31" t="s">
        <v>259</v>
      </c>
      <c r="F12" s="31" t="s">
        <v>331</v>
      </c>
      <c r="G12" s="31" t="s">
        <v>332</v>
      </c>
      <c r="H12" s="21">
        <v>-270.89999999999998</v>
      </c>
    </row>
    <row r="13" spans="1:8" s="29" customFormat="1" ht="20.100000000000001" customHeight="1" x14ac:dyDescent="0.2">
      <c r="A13" s="45"/>
      <c r="B13" s="31" t="s">
        <v>322</v>
      </c>
      <c r="C13" s="31" t="s">
        <v>187</v>
      </c>
      <c r="D13" s="31">
        <v>3455</v>
      </c>
      <c r="E13" s="31" t="s">
        <v>189</v>
      </c>
      <c r="F13" s="31" t="s">
        <v>333</v>
      </c>
      <c r="G13" s="31" t="s">
        <v>293</v>
      </c>
      <c r="H13" s="21">
        <v>-96.2</v>
      </c>
    </row>
    <row r="14" spans="1:8" s="29" customFormat="1" ht="20.100000000000001" customHeight="1" x14ac:dyDescent="0.2">
      <c r="A14" s="45"/>
      <c r="B14" s="31" t="s">
        <v>322</v>
      </c>
      <c r="C14" s="31" t="s">
        <v>187</v>
      </c>
      <c r="D14" s="31">
        <v>3456</v>
      </c>
      <c r="E14" s="31" t="s">
        <v>189</v>
      </c>
      <c r="F14" s="31" t="s">
        <v>334</v>
      </c>
      <c r="G14" s="31" t="s">
        <v>213</v>
      </c>
      <c r="H14" s="21">
        <v>-126.07</v>
      </c>
    </row>
    <row r="15" spans="1:8" s="29" customFormat="1" ht="20.100000000000001" customHeight="1" x14ac:dyDescent="0.2">
      <c r="A15" s="45"/>
      <c r="B15" s="31" t="s">
        <v>322</v>
      </c>
      <c r="C15" s="31" t="s">
        <v>187</v>
      </c>
      <c r="D15" s="31">
        <v>3457</v>
      </c>
      <c r="E15" s="31" t="s">
        <v>189</v>
      </c>
      <c r="F15" s="31" t="s">
        <v>334</v>
      </c>
      <c r="G15" s="31" t="s">
        <v>298</v>
      </c>
      <c r="H15" s="21">
        <v>-109.66</v>
      </c>
    </row>
    <row r="16" spans="1:8" s="29" customFormat="1" ht="20.100000000000001" customHeight="1" x14ac:dyDescent="0.2">
      <c r="A16" s="45"/>
      <c r="B16" s="31" t="s">
        <v>322</v>
      </c>
      <c r="C16" s="31" t="s">
        <v>187</v>
      </c>
      <c r="D16" s="31">
        <v>3458</v>
      </c>
      <c r="E16" s="31" t="s">
        <v>335</v>
      </c>
      <c r="F16" s="31" t="s">
        <v>336</v>
      </c>
      <c r="G16" s="31" t="s">
        <v>192</v>
      </c>
      <c r="H16" s="21">
        <v>-108</v>
      </c>
    </row>
    <row r="17" spans="1:8" s="29" customFormat="1" ht="20.100000000000001" customHeight="1" x14ac:dyDescent="0.2">
      <c r="A17" s="45"/>
      <c r="B17" s="31" t="s">
        <v>322</v>
      </c>
      <c r="C17" s="31" t="s">
        <v>187</v>
      </c>
      <c r="D17" s="31">
        <v>3459</v>
      </c>
      <c r="E17" s="31" t="s">
        <v>312</v>
      </c>
      <c r="F17" s="31" t="s">
        <v>337</v>
      </c>
      <c r="G17" s="32" t="s">
        <v>186</v>
      </c>
      <c r="H17" s="21">
        <v>-29731</v>
      </c>
    </row>
    <row r="18" spans="1:8" s="29" customFormat="1" ht="20.100000000000001" customHeight="1" x14ac:dyDescent="0.2">
      <c r="A18" s="45"/>
      <c r="B18" s="31" t="s">
        <v>322</v>
      </c>
      <c r="C18" s="31" t="s">
        <v>187</v>
      </c>
      <c r="D18" s="31">
        <v>3460</v>
      </c>
      <c r="E18" s="31" t="s">
        <v>205</v>
      </c>
      <c r="F18" s="31" t="s">
        <v>338</v>
      </c>
      <c r="G18" s="32" t="s">
        <v>186</v>
      </c>
      <c r="H18" s="21">
        <v>-86.65</v>
      </c>
    </row>
    <row r="19" spans="1:8" s="29" customFormat="1" ht="20.100000000000001" customHeight="1" x14ac:dyDescent="0.2">
      <c r="A19" s="45"/>
      <c r="B19" s="31" t="s">
        <v>322</v>
      </c>
      <c r="C19" s="31" t="s">
        <v>187</v>
      </c>
      <c r="D19" s="31">
        <v>3461</v>
      </c>
      <c r="E19" s="31" t="s">
        <v>193</v>
      </c>
      <c r="F19" s="31" t="s">
        <v>339</v>
      </c>
      <c r="G19" s="31" t="s">
        <v>281</v>
      </c>
      <c r="H19" s="21">
        <v>-182.34</v>
      </c>
    </row>
    <row r="20" spans="1:8" s="29" customFormat="1" ht="20.100000000000001" customHeight="1" x14ac:dyDescent="0.2">
      <c r="A20" s="45"/>
      <c r="B20" s="31" t="s">
        <v>322</v>
      </c>
      <c r="C20" s="31" t="s">
        <v>187</v>
      </c>
      <c r="D20" s="31">
        <v>3462</v>
      </c>
      <c r="E20" s="31" t="s">
        <v>263</v>
      </c>
      <c r="F20" s="31" t="s">
        <v>310</v>
      </c>
      <c r="G20" s="31" t="s">
        <v>257</v>
      </c>
      <c r="H20" s="21">
        <v>-61.76</v>
      </c>
    </row>
    <row r="21" spans="1:8" s="29" customFormat="1" ht="20.100000000000001" customHeight="1" x14ac:dyDescent="0.2">
      <c r="A21" s="45"/>
      <c r="B21" s="31" t="s">
        <v>322</v>
      </c>
      <c r="C21" s="31" t="s">
        <v>187</v>
      </c>
      <c r="D21" s="31">
        <v>3463</v>
      </c>
      <c r="E21" s="31" t="s">
        <v>340</v>
      </c>
      <c r="F21" s="31" t="s">
        <v>341</v>
      </c>
      <c r="G21" s="31" t="s">
        <v>342</v>
      </c>
      <c r="H21" s="21">
        <v>-460.14</v>
      </c>
    </row>
    <row r="22" spans="1:8" s="29" customFormat="1" ht="20.100000000000001" customHeight="1" x14ac:dyDescent="0.2">
      <c r="A22" s="45"/>
      <c r="B22" s="31" t="s">
        <v>343</v>
      </c>
      <c r="C22" s="31" t="s">
        <v>187</v>
      </c>
      <c r="D22" s="31" t="s">
        <v>195</v>
      </c>
      <c r="E22" s="31" t="s">
        <v>203</v>
      </c>
      <c r="F22" s="31" t="s">
        <v>344</v>
      </c>
      <c r="G22" s="31" t="s">
        <v>204</v>
      </c>
      <c r="H22" s="21">
        <v>-2590.62</v>
      </c>
    </row>
    <row r="23" spans="1:8" s="29" customFormat="1" ht="20.100000000000001" customHeight="1" x14ac:dyDescent="0.2">
      <c r="A23" s="45"/>
      <c r="B23" s="31" t="s">
        <v>345</v>
      </c>
      <c r="C23" s="31" t="s">
        <v>187</v>
      </c>
      <c r="D23" s="31">
        <v>3464</v>
      </c>
      <c r="E23" s="31" t="s">
        <v>288</v>
      </c>
      <c r="F23" s="31" t="s">
        <v>289</v>
      </c>
      <c r="G23" s="31" t="s">
        <v>290</v>
      </c>
      <c r="H23" s="21">
        <v>-75</v>
      </c>
    </row>
    <row r="24" spans="1:8" s="29" customFormat="1" ht="20.100000000000001" customHeight="1" x14ac:dyDescent="0.2">
      <c r="A24" s="45"/>
      <c r="B24" s="31" t="s">
        <v>345</v>
      </c>
      <c r="C24" s="31" t="s">
        <v>187</v>
      </c>
      <c r="D24" s="31">
        <v>3465</v>
      </c>
      <c r="E24" s="31" t="s">
        <v>346</v>
      </c>
      <c r="F24" s="31" t="s">
        <v>347</v>
      </c>
      <c r="G24" s="31" t="s">
        <v>348</v>
      </c>
      <c r="H24" s="21">
        <v>-155.71</v>
      </c>
    </row>
    <row r="25" spans="1:8" s="29" customFormat="1" ht="20.100000000000001" customHeight="1" x14ac:dyDescent="0.2">
      <c r="A25" s="45"/>
      <c r="B25" s="31" t="s">
        <v>345</v>
      </c>
      <c r="C25" s="31" t="s">
        <v>187</v>
      </c>
      <c r="D25" s="31" t="s">
        <v>349</v>
      </c>
      <c r="E25" s="31" t="s">
        <v>193</v>
      </c>
      <c r="F25" s="31" t="s">
        <v>350</v>
      </c>
      <c r="G25" s="32" t="s">
        <v>186</v>
      </c>
      <c r="H25" s="21">
        <v>-8753.15</v>
      </c>
    </row>
    <row r="26" spans="1:8" s="29" customFormat="1" ht="20.100000000000001" customHeight="1" x14ac:dyDescent="0.2">
      <c r="A26" s="45"/>
      <c r="B26" s="31" t="s">
        <v>345</v>
      </c>
      <c r="C26" s="31" t="s">
        <v>187</v>
      </c>
      <c r="D26" s="31" t="s">
        <v>349</v>
      </c>
      <c r="E26" s="31" t="s">
        <v>193</v>
      </c>
      <c r="F26" s="31" t="s">
        <v>351</v>
      </c>
      <c r="G26" s="32" t="s">
        <v>186</v>
      </c>
      <c r="H26" s="21">
        <v>-3759.6</v>
      </c>
    </row>
    <row r="27" spans="1:8" s="29" customFormat="1" ht="20.100000000000001" customHeight="1" x14ac:dyDescent="0.2">
      <c r="A27" s="45"/>
      <c r="B27" s="31" t="s">
        <v>352</v>
      </c>
      <c r="C27" s="31" t="s">
        <v>185</v>
      </c>
      <c r="D27" s="31"/>
      <c r="E27" s="31"/>
      <c r="F27" s="31"/>
      <c r="G27" s="32" t="s">
        <v>186</v>
      </c>
      <c r="H27" s="21">
        <v>2262.31</v>
      </c>
    </row>
    <row r="28" spans="1:8" s="29" customFormat="1" ht="20.100000000000001" customHeight="1" x14ac:dyDescent="0.2">
      <c r="A28" s="45"/>
      <c r="B28" s="31" t="s">
        <v>352</v>
      </c>
      <c r="C28" s="31" t="s">
        <v>187</v>
      </c>
      <c r="D28" s="31" t="s">
        <v>195</v>
      </c>
      <c r="E28" s="31" t="s">
        <v>353</v>
      </c>
      <c r="F28" s="31" t="s">
        <v>354</v>
      </c>
      <c r="G28" s="31">
        <v>6560</v>
      </c>
      <c r="H28" s="21">
        <v>-225</v>
      </c>
    </row>
    <row r="29" spans="1:8" s="29" customFormat="1" ht="20.100000000000001" customHeight="1" x14ac:dyDescent="0.2">
      <c r="A29" s="45"/>
      <c r="B29" s="31" t="s">
        <v>352</v>
      </c>
      <c r="C29" s="31" t="s">
        <v>187</v>
      </c>
      <c r="D29" s="31" t="s">
        <v>195</v>
      </c>
      <c r="E29" s="31" t="s">
        <v>297</v>
      </c>
      <c r="F29" s="31" t="s">
        <v>354</v>
      </c>
      <c r="G29" s="31">
        <v>6560</v>
      </c>
      <c r="H29" s="21">
        <v>-1088.8499999999999</v>
      </c>
    </row>
    <row r="30" spans="1:8" s="29" customFormat="1" ht="20.100000000000001" customHeight="1" x14ac:dyDescent="0.2">
      <c r="A30" s="45"/>
      <c r="B30" s="31" t="s">
        <v>355</v>
      </c>
      <c r="C30" s="31" t="s">
        <v>187</v>
      </c>
      <c r="D30" s="31" t="s">
        <v>258</v>
      </c>
      <c r="E30" s="31"/>
      <c r="F30" s="31" t="s">
        <v>217</v>
      </c>
      <c r="G30" s="31" t="s">
        <v>192</v>
      </c>
      <c r="H30" s="21">
        <v>-100</v>
      </c>
    </row>
    <row r="31" spans="1:8" s="29" customFormat="1" ht="20.100000000000001" customHeight="1" x14ac:dyDescent="0.2">
      <c r="A31" s="45"/>
      <c r="B31" s="31" t="s">
        <v>356</v>
      </c>
      <c r="C31" s="31" t="s">
        <v>187</v>
      </c>
      <c r="D31" s="31" t="s">
        <v>195</v>
      </c>
      <c r="E31" s="31" t="s">
        <v>196</v>
      </c>
      <c r="F31" s="31" t="s">
        <v>357</v>
      </c>
      <c r="G31" s="32" t="s">
        <v>186</v>
      </c>
      <c r="H31" s="21">
        <v>-1728.96</v>
      </c>
    </row>
    <row r="32" spans="1:8" s="29" customFormat="1" ht="20.100000000000001" customHeight="1" x14ac:dyDescent="0.2">
      <c r="A32" s="45"/>
      <c r="B32" s="31" t="s">
        <v>356</v>
      </c>
      <c r="C32" s="31" t="s">
        <v>187</v>
      </c>
      <c r="D32" s="31" t="s">
        <v>195</v>
      </c>
      <c r="E32" s="31" t="s">
        <v>197</v>
      </c>
      <c r="F32" s="31" t="s">
        <v>357</v>
      </c>
      <c r="G32" s="32" t="s">
        <v>186</v>
      </c>
      <c r="H32" s="21">
        <v>-138.16</v>
      </c>
    </row>
    <row r="33" spans="1:8" s="29" customFormat="1" ht="20.100000000000001" customHeight="1" x14ac:dyDescent="0.2">
      <c r="A33" s="45"/>
      <c r="B33" s="31" t="s">
        <v>356</v>
      </c>
      <c r="C33" s="31" t="s">
        <v>187</v>
      </c>
      <c r="D33" s="31" t="s">
        <v>195</v>
      </c>
      <c r="E33" s="31" t="s">
        <v>264</v>
      </c>
      <c r="F33" s="31" t="s">
        <v>357</v>
      </c>
      <c r="G33" s="32" t="s">
        <v>186</v>
      </c>
      <c r="H33" s="21">
        <v>-88.37</v>
      </c>
    </row>
    <row r="34" spans="1:8" s="29" customFormat="1" ht="20.100000000000001" customHeight="1" x14ac:dyDescent="0.2">
      <c r="A34" s="45"/>
      <c r="B34" s="31" t="s">
        <v>356</v>
      </c>
      <c r="C34" s="31" t="s">
        <v>187</v>
      </c>
      <c r="D34" s="31" t="s">
        <v>195</v>
      </c>
      <c r="E34" s="31" t="s">
        <v>198</v>
      </c>
      <c r="F34" s="31" t="s">
        <v>357</v>
      </c>
      <c r="G34" s="32" t="s">
        <v>186</v>
      </c>
      <c r="H34" s="21">
        <v>-1339.34</v>
      </c>
    </row>
    <row r="35" spans="1:8" s="29" customFormat="1" ht="20.100000000000001" customHeight="1" x14ac:dyDescent="0.2">
      <c r="A35" s="45"/>
      <c r="B35" s="31" t="s">
        <v>356</v>
      </c>
      <c r="C35" s="31" t="s">
        <v>187</v>
      </c>
      <c r="D35" s="31" t="s">
        <v>195</v>
      </c>
      <c r="E35" s="31" t="s">
        <v>280</v>
      </c>
      <c r="F35" s="31" t="s">
        <v>357</v>
      </c>
      <c r="G35" s="32" t="s">
        <v>186</v>
      </c>
      <c r="H35" s="21">
        <v>-62.07</v>
      </c>
    </row>
    <row r="36" spans="1:8" s="29" customFormat="1" ht="20.100000000000001" customHeight="1" x14ac:dyDescent="0.2">
      <c r="A36" s="45"/>
      <c r="B36" s="31" t="s">
        <v>356</v>
      </c>
      <c r="C36" s="31" t="s">
        <v>187</v>
      </c>
      <c r="D36" s="31" t="s">
        <v>195</v>
      </c>
      <c r="E36" s="31" t="s">
        <v>199</v>
      </c>
      <c r="F36" s="31" t="s">
        <v>357</v>
      </c>
      <c r="G36" s="32" t="s">
        <v>186</v>
      </c>
      <c r="H36" s="21">
        <v>-1566.96</v>
      </c>
    </row>
    <row r="37" spans="1:8" s="29" customFormat="1" ht="20.100000000000001" customHeight="1" x14ac:dyDescent="0.2">
      <c r="A37" s="45"/>
      <c r="B37" s="31" t="s">
        <v>356</v>
      </c>
      <c r="C37" s="31" t="s">
        <v>187</v>
      </c>
      <c r="D37" s="31" t="s">
        <v>195</v>
      </c>
      <c r="E37" s="31" t="s">
        <v>200</v>
      </c>
      <c r="F37" s="31" t="s">
        <v>357</v>
      </c>
      <c r="G37" s="32" t="s">
        <v>186</v>
      </c>
      <c r="H37" s="21">
        <v>-1254.6300000000001</v>
      </c>
    </row>
    <row r="38" spans="1:8" s="29" customFormat="1" ht="20.100000000000001" customHeight="1" x14ac:dyDescent="0.2">
      <c r="A38" s="45"/>
      <c r="B38" s="31" t="s">
        <v>356</v>
      </c>
      <c r="C38" s="31" t="s">
        <v>187</v>
      </c>
      <c r="D38" s="31" t="s">
        <v>195</v>
      </c>
      <c r="E38" s="31" t="s">
        <v>314</v>
      </c>
      <c r="F38" s="31" t="s">
        <v>357</v>
      </c>
      <c r="G38" s="32" t="s">
        <v>186</v>
      </c>
      <c r="H38" s="21">
        <v>-51.54</v>
      </c>
    </row>
    <row r="39" spans="1:8" s="29" customFormat="1" ht="20.100000000000001" customHeight="1" x14ac:dyDescent="0.2">
      <c r="A39" s="45"/>
      <c r="B39" s="31" t="s">
        <v>356</v>
      </c>
      <c r="C39" s="31" t="s">
        <v>187</v>
      </c>
      <c r="D39" s="31" t="s">
        <v>195</v>
      </c>
      <c r="E39" s="31" t="s">
        <v>315</v>
      </c>
      <c r="F39" s="31" t="s">
        <v>357</v>
      </c>
      <c r="G39" s="32" t="s">
        <v>186</v>
      </c>
      <c r="H39" s="21">
        <v>-165.13</v>
      </c>
    </row>
    <row r="40" spans="1:8" s="29" customFormat="1" ht="20.100000000000001" customHeight="1" x14ac:dyDescent="0.2">
      <c r="A40" s="45"/>
      <c r="B40" s="31" t="s">
        <v>356</v>
      </c>
      <c r="C40" s="31" t="s">
        <v>187</v>
      </c>
      <c r="D40" s="31" t="s">
        <v>195</v>
      </c>
      <c r="E40" s="31" t="s">
        <v>201</v>
      </c>
      <c r="F40" s="31" t="s">
        <v>357</v>
      </c>
      <c r="G40" s="32" t="s">
        <v>186</v>
      </c>
      <c r="H40" s="21">
        <v>-1819.15</v>
      </c>
    </row>
    <row r="41" spans="1:8" s="29" customFormat="1" ht="20.100000000000001" customHeight="1" x14ac:dyDescent="0.2">
      <c r="A41" s="45"/>
      <c r="B41" s="31" t="s">
        <v>356</v>
      </c>
      <c r="C41" s="31" t="s">
        <v>187</v>
      </c>
      <c r="D41" s="31" t="s">
        <v>195</v>
      </c>
      <c r="E41" s="31" t="s">
        <v>260</v>
      </c>
      <c r="F41" s="31" t="s">
        <v>357</v>
      </c>
      <c r="G41" s="32" t="s">
        <v>186</v>
      </c>
      <c r="H41" s="21">
        <v>-437.45</v>
      </c>
    </row>
    <row r="42" spans="1:8" s="29" customFormat="1" ht="20.100000000000001" customHeight="1" x14ac:dyDescent="0.2">
      <c r="A42" s="45"/>
      <c r="B42" s="31" t="s">
        <v>358</v>
      </c>
      <c r="C42" s="31" t="s">
        <v>359</v>
      </c>
      <c r="D42" s="31">
        <v>96</v>
      </c>
      <c r="E42" s="31" t="s">
        <v>360</v>
      </c>
      <c r="F42" s="31"/>
      <c r="G42" s="32" t="s">
        <v>186</v>
      </c>
      <c r="H42" s="21">
        <v>81.459999999999994</v>
      </c>
    </row>
    <row r="43" spans="1:8" s="29" customFormat="1" ht="20.100000000000001" customHeight="1" x14ac:dyDescent="0.2">
      <c r="A43" s="45"/>
      <c r="B43" s="31" t="s">
        <v>358</v>
      </c>
      <c r="C43" s="31" t="s">
        <v>359</v>
      </c>
      <c r="D43" s="31">
        <v>97</v>
      </c>
      <c r="E43" s="31" t="s">
        <v>360</v>
      </c>
      <c r="F43" s="31"/>
      <c r="G43" s="32" t="s">
        <v>186</v>
      </c>
      <c r="H43" s="21">
        <v>84.37</v>
      </c>
    </row>
    <row r="44" spans="1:8" s="29" customFormat="1" ht="20.100000000000001" customHeight="1" x14ac:dyDescent="0.2">
      <c r="A44" s="45"/>
      <c r="B44" s="31" t="s">
        <v>358</v>
      </c>
      <c r="C44" s="31" t="s">
        <v>187</v>
      </c>
      <c r="D44" s="31">
        <v>3466</v>
      </c>
      <c r="E44" s="31" t="s">
        <v>302</v>
      </c>
      <c r="F44" s="31" t="s">
        <v>361</v>
      </c>
      <c r="G44" s="31" t="s">
        <v>257</v>
      </c>
      <c r="H44" s="21">
        <v>-60.84</v>
      </c>
    </row>
    <row r="45" spans="1:8" s="29" customFormat="1" ht="20.100000000000001" customHeight="1" x14ac:dyDescent="0.2">
      <c r="A45" s="45"/>
      <c r="B45" s="31" t="s">
        <v>358</v>
      </c>
      <c r="C45" s="31" t="s">
        <v>187</v>
      </c>
      <c r="D45" s="31">
        <v>3467</v>
      </c>
      <c r="E45" s="31" t="s">
        <v>190</v>
      </c>
      <c r="F45" s="31" t="s">
        <v>362</v>
      </c>
      <c r="G45" s="31" t="s">
        <v>191</v>
      </c>
      <c r="H45" s="21">
        <v>-916.08</v>
      </c>
    </row>
    <row r="46" spans="1:8" s="29" customFormat="1" ht="20.100000000000001" customHeight="1" x14ac:dyDescent="0.2">
      <c r="A46" s="45"/>
      <c r="B46" s="31" t="s">
        <v>358</v>
      </c>
      <c r="C46" s="31" t="s">
        <v>187</v>
      </c>
      <c r="D46" s="31">
        <v>3468</v>
      </c>
      <c r="E46" s="31" t="s">
        <v>202</v>
      </c>
      <c r="F46" s="31" t="s">
        <v>363</v>
      </c>
      <c r="G46" s="31" t="s">
        <v>255</v>
      </c>
      <c r="H46" s="21">
        <v>-187.21</v>
      </c>
    </row>
    <row r="47" spans="1:8" s="29" customFormat="1" ht="20.100000000000001" customHeight="1" x14ac:dyDescent="0.2">
      <c r="A47" s="45"/>
      <c r="B47" s="31" t="s">
        <v>358</v>
      </c>
      <c r="C47" s="31" t="s">
        <v>187</v>
      </c>
      <c r="D47" s="31">
        <v>3469</v>
      </c>
      <c r="E47" s="31" t="s">
        <v>193</v>
      </c>
      <c r="F47" s="31" t="s">
        <v>364</v>
      </c>
      <c r="G47" s="31" t="s">
        <v>365</v>
      </c>
      <c r="H47" s="21">
        <v>-200</v>
      </c>
    </row>
    <row r="48" spans="1:8" s="29" customFormat="1" ht="20.100000000000001" customHeight="1" x14ac:dyDescent="0.2">
      <c r="A48" s="45"/>
      <c r="B48" s="31" t="s">
        <v>358</v>
      </c>
      <c r="C48" s="31" t="s">
        <v>187</v>
      </c>
      <c r="D48" s="31">
        <v>3470</v>
      </c>
      <c r="E48" s="31" t="s">
        <v>311</v>
      </c>
      <c r="F48" s="31" t="s">
        <v>366</v>
      </c>
      <c r="G48" s="31" t="s">
        <v>188</v>
      </c>
      <c r="H48" s="21">
        <v>-28.62</v>
      </c>
    </row>
    <row r="49" spans="1:8" s="29" customFormat="1" ht="20.100000000000001" customHeight="1" x14ac:dyDescent="0.2">
      <c r="A49" s="45"/>
      <c r="B49" s="31" t="s">
        <v>358</v>
      </c>
      <c r="C49" s="31" t="s">
        <v>187</v>
      </c>
      <c r="D49" s="31">
        <v>3471</v>
      </c>
      <c r="E49" s="31" t="s">
        <v>367</v>
      </c>
      <c r="F49" s="31" t="s">
        <v>368</v>
      </c>
      <c r="G49" s="31" t="s">
        <v>369</v>
      </c>
      <c r="H49" s="21">
        <v>-195</v>
      </c>
    </row>
    <row r="50" spans="1:8" s="29" customFormat="1" ht="20.100000000000001" customHeight="1" x14ac:dyDescent="0.2">
      <c r="A50" s="45"/>
      <c r="B50" s="31" t="s">
        <v>358</v>
      </c>
      <c r="C50" s="31" t="s">
        <v>187</v>
      </c>
      <c r="D50" s="31">
        <v>3472</v>
      </c>
      <c r="E50" s="31" t="s">
        <v>370</v>
      </c>
      <c r="F50" s="31" t="s">
        <v>371</v>
      </c>
      <c r="G50" s="31" t="s">
        <v>372</v>
      </c>
      <c r="H50" s="21">
        <v>-103019</v>
      </c>
    </row>
    <row r="51" spans="1:8" s="29" customFormat="1" ht="20.100000000000001" customHeight="1" x14ac:dyDescent="0.2">
      <c r="A51" s="45"/>
      <c r="B51" s="31" t="s">
        <v>358</v>
      </c>
      <c r="C51" s="31" t="s">
        <v>187</v>
      </c>
      <c r="D51" s="31">
        <v>3473</v>
      </c>
      <c r="E51" s="31" t="s">
        <v>254</v>
      </c>
      <c r="F51" s="31" t="s">
        <v>373</v>
      </c>
      <c r="G51" s="31" t="s">
        <v>244</v>
      </c>
      <c r="H51" s="21">
        <v>-243.79</v>
      </c>
    </row>
    <row r="52" spans="1:8" s="29" customFormat="1" ht="20.100000000000001" customHeight="1" x14ac:dyDescent="0.2">
      <c r="A52" s="45"/>
      <c r="B52" s="31" t="s">
        <v>358</v>
      </c>
      <c r="C52" s="31" t="s">
        <v>187</v>
      </c>
      <c r="D52" s="31">
        <v>3474</v>
      </c>
      <c r="E52" s="31" t="s">
        <v>374</v>
      </c>
      <c r="F52" s="31" t="s">
        <v>375</v>
      </c>
      <c r="G52" s="32" t="s">
        <v>186</v>
      </c>
      <c r="H52" s="21">
        <v>-3248.93</v>
      </c>
    </row>
    <row r="53" spans="1:8" s="29" customFormat="1" ht="20.100000000000001" customHeight="1" x14ac:dyDescent="0.2">
      <c r="A53" s="45"/>
      <c r="B53" s="31" t="s">
        <v>358</v>
      </c>
      <c r="C53" s="31" t="s">
        <v>253</v>
      </c>
      <c r="D53" s="31"/>
      <c r="E53" s="31"/>
      <c r="F53" s="31" t="s">
        <v>376</v>
      </c>
      <c r="G53" s="31" t="s">
        <v>377</v>
      </c>
      <c r="H53" s="21">
        <v>-100000</v>
      </c>
    </row>
    <row r="54" spans="1:8" s="29" customFormat="1" ht="20.100000000000001" customHeight="1" x14ac:dyDescent="0.2">
      <c r="A54" s="45"/>
      <c r="B54" s="31" t="s">
        <v>358</v>
      </c>
      <c r="C54" s="31" t="s">
        <v>185</v>
      </c>
      <c r="D54" s="31"/>
      <c r="E54" s="31"/>
      <c r="F54" s="31"/>
      <c r="G54" s="31" t="s">
        <v>378</v>
      </c>
      <c r="H54" s="21">
        <v>57949.83</v>
      </c>
    </row>
    <row r="55" spans="1:8" s="29" customFormat="1" ht="20.100000000000001" customHeight="1" x14ac:dyDescent="0.2">
      <c r="A55" s="45"/>
      <c r="B55" s="31" t="s">
        <v>379</v>
      </c>
      <c r="C55" s="31" t="s">
        <v>187</v>
      </c>
      <c r="D55" s="31" t="s">
        <v>195</v>
      </c>
      <c r="E55" s="31" t="s">
        <v>206</v>
      </c>
      <c r="F55" s="31" t="s">
        <v>380</v>
      </c>
      <c r="G55" s="32" t="s">
        <v>186</v>
      </c>
      <c r="H55" s="21">
        <v>-479.1</v>
      </c>
    </row>
    <row r="56" spans="1:8" s="29" customFormat="1" ht="20.100000000000001" customHeight="1" x14ac:dyDescent="0.2">
      <c r="A56" s="45"/>
      <c r="B56" s="31" t="s">
        <v>379</v>
      </c>
      <c r="C56" s="31" t="s">
        <v>187</v>
      </c>
      <c r="D56" s="31" t="s">
        <v>195</v>
      </c>
      <c r="E56" s="31" t="s">
        <v>294</v>
      </c>
      <c r="F56" s="31" t="s">
        <v>380</v>
      </c>
      <c r="G56" s="32" t="s">
        <v>186</v>
      </c>
      <c r="H56" s="21">
        <v>-484.83</v>
      </c>
    </row>
    <row r="57" spans="1:8" s="29" customFormat="1" ht="20.100000000000001" customHeight="1" x14ac:dyDescent="0.2">
      <c r="A57" s="45"/>
      <c r="B57" s="31" t="s">
        <v>379</v>
      </c>
      <c r="C57" s="31" t="s">
        <v>187</v>
      </c>
      <c r="D57" s="31" t="s">
        <v>195</v>
      </c>
      <c r="E57" s="31" t="s">
        <v>207</v>
      </c>
      <c r="F57" s="31" t="s">
        <v>380</v>
      </c>
      <c r="G57" s="32" t="s">
        <v>186</v>
      </c>
      <c r="H57" s="21">
        <v>-484.83</v>
      </c>
    </row>
    <row r="58" spans="1:8" s="29" customFormat="1" ht="20.100000000000001" customHeight="1" x14ac:dyDescent="0.2">
      <c r="A58" s="45"/>
      <c r="B58" s="31" t="s">
        <v>379</v>
      </c>
      <c r="C58" s="31" t="s">
        <v>187</v>
      </c>
      <c r="D58" s="31" t="s">
        <v>195</v>
      </c>
      <c r="E58" s="31" t="s">
        <v>208</v>
      </c>
      <c r="F58" s="31" t="s">
        <v>380</v>
      </c>
      <c r="G58" s="32" t="s">
        <v>186</v>
      </c>
      <c r="H58" s="21">
        <v>-110.82</v>
      </c>
    </row>
    <row r="59" spans="1:8" s="29" customFormat="1" ht="20.100000000000001" customHeight="1" x14ac:dyDescent="0.2">
      <c r="A59" s="45"/>
      <c r="B59" s="31" t="s">
        <v>379</v>
      </c>
      <c r="C59" s="31" t="s">
        <v>187</v>
      </c>
      <c r="D59" s="31" t="s">
        <v>195</v>
      </c>
      <c r="E59" s="31" t="s">
        <v>300</v>
      </c>
      <c r="F59" s="31" t="s">
        <v>380</v>
      </c>
      <c r="G59" s="32" t="s">
        <v>186</v>
      </c>
      <c r="H59" s="21">
        <v>-369.4</v>
      </c>
    </row>
    <row r="60" spans="1:8" s="29" customFormat="1" ht="20.100000000000001" customHeight="1" x14ac:dyDescent="0.2">
      <c r="A60" s="45"/>
      <c r="B60" s="31" t="s">
        <v>379</v>
      </c>
      <c r="C60" s="31" t="s">
        <v>187</v>
      </c>
      <c r="D60" s="31" t="s">
        <v>195</v>
      </c>
      <c r="E60" s="31" t="s">
        <v>209</v>
      </c>
      <c r="F60" s="31" t="s">
        <v>380</v>
      </c>
      <c r="G60" s="32" t="s">
        <v>186</v>
      </c>
      <c r="H60" s="21">
        <v>-468.58</v>
      </c>
    </row>
    <row r="61" spans="1:8" s="29" customFormat="1" ht="20.100000000000001" customHeight="1" x14ac:dyDescent="0.2">
      <c r="A61" s="45"/>
      <c r="B61" s="31" t="s">
        <v>379</v>
      </c>
      <c r="C61" s="31" t="s">
        <v>187</v>
      </c>
      <c r="D61" s="31" t="s">
        <v>195</v>
      </c>
      <c r="E61" s="31" t="s">
        <v>250</v>
      </c>
      <c r="F61" s="31" t="s">
        <v>380</v>
      </c>
      <c r="G61" s="32" t="s">
        <v>186</v>
      </c>
      <c r="H61" s="21">
        <v>-484.83</v>
      </c>
    </row>
    <row r="62" spans="1:8" s="29" customFormat="1" ht="20.100000000000001" customHeight="1" x14ac:dyDescent="0.2">
      <c r="A62" s="45"/>
      <c r="B62" s="31" t="s">
        <v>379</v>
      </c>
      <c r="C62" s="31" t="s">
        <v>187</v>
      </c>
      <c r="D62" s="31" t="s">
        <v>195</v>
      </c>
      <c r="E62" s="31" t="s">
        <v>246</v>
      </c>
      <c r="F62" s="31" t="s">
        <v>380</v>
      </c>
      <c r="G62" s="32" t="s">
        <v>186</v>
      </c>
      <c r="H62" s="21">
        <v>-1308.83</v>
      </c>
    </row>
    <row r="63" spans="1:8" s="29" customFormat="1" ht="20.100000000000001" customHeight="1" x14ac:dyDescent="0.2">
      <c r="A63" s="45"/>
      <c r="B63" s="31" t="s">
        <v>381</v>
      </c>
      <c r="C63" s="31" t="s">
        <v>382</v>
      </c>
      <c r="D63" s="31"/>
      <c r="E63" s="31" t="s">
        <v>211</v>
      </c>
      <c r="F63" s="31" t="s">
        <v>383</v>
      </c>
      <c r="G63" s="31" t="s">
        <v>212</v>
      </c>
      <c r="H63" s="21">
        <v>-1010.93</v>
      </c>
    </row>
    <row r="64" spans="1:8" s="29" customFormat="1" ht="20.100000000000001" customHeight="1" x14ac:dyDescent="0.2">
      <c r="A64" s="45"/>
      <c r="B64" s="31" t="s">
        <v>384</v>
      </c>
      <c r="C64" s="31" t="s">
        <v>187</v>
      </c>
      <c r="D64" s="31" t="s">
        <v>195</v>
      </c>
      <c r="E64" s="31" t="s">
        <v>203</v>
      </c>
      <c r="F64" s="31" t="s">
        <v>385</v>
      </c>
      <c r="G64" s="31" t="s">
        <v>204</v>
      </c>
      <c r="H64" s="21">
        <v>-3428.35</v>
      </c>
    </row>
    <row r="65" spans="1:8" s="29" customFormat="1" ht="20.100000000000001" customHeight="1" x14ac:dyDescent="0.2">
      <c r="A65" s="45"/>
      <c r="B65" s="31" t="s">
        <v>386</v>
      </c>
      <c r="C65" s="31" t="s">
        <v>187</v>
      </c>
      <c r="D65" s="31">
        <v>3475</v>
      </c>
      <c r="E65" s="31" t="s">
        <v>387</v>
      </c>
      <c r="F65" s="31" t="s">
        <v>388</v>
      </c>
      <c r="G65" s="31" t="s">
        <v>389</v>
      </c>
      <c r="H65" s="21">
        <v>-62.4</v>
      </c>
    </row>
    <row r="66" spans="1:8" s="29" customFormat="1" ht="20.100000000000001" customHeight="1" x14ac:dyDescent="0.2">
      <c r="A66" s="45"/>
      <c r="B66" s="31" t="s">
        <v>390</v>
      </c>
      <c r="C66" s="31" t="s">
        <v>187</v>
      </c>
      <c r="D66" s="31" t="s">
        <v>195</v>
      </c>
      <c r="E66" s="31" t="s">
        <v>196</v>
      </c>
      <c r="F66" s="31" t="s">
        <v>391</v>
      </c>
      <c r="G66" s="32" t="s">
        <v>186</v>
      </c>
      <c r="H66" s="21">
        <v>-1728.95</v>
      </c>
    </row>
    <row r="67" spans="1:8" s="29" customFormat="1" ht="20.100000000000001" customHeight="1" x14ac:dyDescent="0.2">
      <c r="A67" s="45"/>
      <c r="B67" s="31" t="s">
        <v>390</v>
      </c>
      <c r="C67" s="31" t="s">
        <v>187</v>
      </c>
      <c r="D67" s="31" t="s">
        <v>195</v>
      </c>
      <c r="E67" s="31" t="s">
        <v>197</v>
      </c>
      <c r="F67" s="31" t="s">
        <v>391</v>
      </c>
      <c r="G67" s="32" t="s">
        <v>186</v>
      </c>
      <c r="H67" s="21">
        <v>-291.19</v>
      </c>
    </row>
    <row r="68" spans="1:8" s="29" customFormat="1" ht="20.100000000000001" customHeight="1" x14ac:dyDescent="0.2">
      <c r="A68" s="45"/>
      <c r="B68" s="31" t="s">
        <v>390</v>
      </c>
      <c r="C68" s="31" t="s">
        <v>187</v>
      </c>
      <c r="D68" s="31" t="s">
        <v>195</v>
      </c>
      <c r="E68" s="31" t="s">
        <v>264</v>
      </c>
      <c r="F68" s="31" t="s">
        <v>391</v>
      </c>
      <c r="G68" s="32" t="s">
        <v>186</v>
      </c>
      <c r="H68" s="21">
        <v>-175.09</v>
      </c>
    </row>
    <row r="69" spans="1:8" s="29" customFormat="1" ht="20.100000000000001" customHeight="1" x14ac:dyDescent="0.2">
      <c r="A69" s="45"/>
      <c r="B69" s="31" t="s">
        <v>390</v>
      </c>
      <c r="C69" s="31" t="s">
        <v>187</v>
      </c>
      <c r="D69" s="31" t="s">
        <v>195</v>
      </c>
      <c r="E69" s="31" t="s">
        <v>198</v>
      </c>
      <c r="F69" s="31" t="s">
        <v>391</v>
      </c>
      <c r="G69" s="32" t="s">
        <v>186</v>
      </c>
      <c r="H69" s="21">
        <v>-1339.33</v>
      </c>
    </row>
    <row r="70" spans="1:8" s="29" customFormat="1" ht="20.100000000000001" customHeight="1" x14ac:dyDescent="0.2">
      <c r="A70" s="45"/>
      <c r="B70" s="31" t="s">
        <v>390</v>
      </c>
      <c r="C70" s="31" t="s">
        <v>187</v>
      </c>
      <c r="D70" s="31" t="s">
        <v>195</v>
      </c>
      <c r="E70" s="31" t="s">
        <v>280</v>
      </c>
      <c r="F70" s="31" t="s">
        <v>391</v>
      </c>
      <c r="G70" s="32" t="s">
        <v>186</v>
      </c>
      <c r="H70" s="21">
        <v>-77.569999999999993</v>
      </c>
    </row>
    <row r="71" spans="1:8" s="29" customFormat="1" ht="20.100000000000001" customHeight="1" x14ac:dyDescent="0.2">
      <c r="A71" s="45"/>
      <c r="B71" s="31" t="s">
        <v>390</v>
      </c>
      <c r="C71" s="31" t="s">
        <v>187</v>
      </c>
      <c r="D71" s="31" t="s">
        <v>195</v>
      </c>
      <c r="E71" s="31" t="s">
        <v>199</v>
      </c>
      <c r="F71" s="31" t="s">
        <v>391</v>
      </c>
      <c r="G71" s="32" t="s">
        <v>186</v>
      </c>
      <c r="H71" s="21">
        <v>-1615.9</v>
      </c>
    </row>
    <row r="72" spans="1:8" s="29" customFormat="1" ht="20.100000000000001" customHeight="1" x14ac:dyDescent="0.2">
      <c r="A72" s="45"/>
      <c r="B72" s="31" t="s">
        <v>390</v>
      </c>
      <c r="C72" s="31" t="s">
        <v>187</v>
      </c>
      <c r="D72" s="31" t="s">
        <v>195</v>
      </c>
      <c r="E72" s="31" t="s">
        <v>200</v>
      </c>
      <c r="F72" s="31" t="s">
        <v>391</v>
      </c>
      <c r="G72" s="32" t="s">
        <v>186</v>
      </c>
      <c r="H72" s="21">
        <v>-1254.6400000000001</v>
      </c>
    </row>
    <row r="73" spans="1:8" s="29" customFormat="1" ht="20.100000000000001" customHeight="1" x14ac:dyDescent="0.2">
      <c r="A73" s="45"/>
      <c r="B73" s="31" t="s">
        <v>390</v>
      </c>
      <c r="C73" s="31" t="s">
        <v>187</v>
      </c>
      <c r="D73" s="31" t="s">
        <v>195</v>
      </c>
      <c r="E73" s="31" t="s">
        <v>314</v>
      </c>
      <c r="F73" s="31" t="s">
        <v>391</v>
      </c>
      <c r="G73" s="32" t="s">
        <v>186</v>
      </c>
      <c r="H73" s="21">
        <v>-31.03</v>
      </c>
    </row>
    <row r="74" spans="1:8" s="29" customFormat="1" ht="20.100000000000001" customHeight="1" x14ac:dyDescent="0.2">
      <c r="A74" s="45"/>
      <c r="B74" s="31" t="s">
        <v>390</v>
      </c>
      <c r="C74" s="31" t="s">
        <v>187</v>
      </c>
      <c r="D74" s="31" t="s">
        <v>195</v>
      </c>
      <c r="E74" s="31" t="s">
        <v>315</v>
      </c>
      <c r="F74" s="31" t="s">
        <v>391</v>
      </c>
      <c r="G74" s="32" t="s">
        <v>186</v>
      </c>
      <c r="H74" s="21">
        <v>-102.78</v>
      </c>
    </row>
    <row r="75" spans="1:8" s="29" customFormat="1" ht="20.100000000000001" customHeight="1" x14ac:dyDescent="0.2">
      <c r="A75" s="45"/>
      <c r="B75" s="31" t="s">
        <v>390</v>
      </c>
      <c r="C75" s="31" t="s">
        <v>187</v>
      </c>
      <c r="D75" s="31" t="s">
        <v>195</v>
      </c>
      <c r="E75" s="31" t="s">
        <v>201</v>
      </c>
      <c r="F75" s="31" t="s">
        <v>391</v>
      </c>
      <c r="G75" s="32" t="s">
        <v>186</v>
      </c>
      <c r="H75" s="21">
        <v>-1758.27</v>
      </c>
    </row>
    <row r="76" spans="1:8" s="29" customFormat="1" ht="20.100000000000001" customHeight="1" x14ac:dyDescent="0.2">
      <c r="A76" s="45"/>
      <c r="B76" s="31" t="s">
        <v>390</v>
      </c>
      <c r="C76" s="31" t="s">
        <v>187</v>
      </c>
      <c r="D76" s="31" t="s">
        <v>195</v>
      </c>
      <c r="E76" s="31" t="s">
        <v>210</v>
      </c>
      <c r="F76" s="31" t="s">
        <v>391</v>
      </c>
      <c r="G76" s="32" t="s">
        <v>186</v>
      </c>
      <c r="H76" s="21">
        <v>-46.54</v>
      </c>
    </row>
    <row r="77" spans="1:8" s="29" customFormat="1" ht="20.100000000000001" customHeight="1" x14ac:dyDescent="0.2">
      <c r="A77" s="45"/>
      <c r="B77" s="31" t="s">
        <v>390</v>
      </c>
      <c r="C77" s="31" t="s">
        <v>187</v>
      </c>
      <c r="D77" s="31" t="s">
        <v>195</v>
      </c>
      <c r="E77" s="31" t="s">
        <v>260</v>
      </c>
      <c r="F77" s="31" t="s">
        <v>391</v>
      </c>
      <c r="G77" s="32" t="s">
        <v>186</v>
      </c>
      <c r="H77" s="21">
        <v>-83.6</v>
      </c>
    </row>
    <row r="78" spans="1:8" s="29" customFormat="1" ht="20.100000000000001" customHeight="1" x14ac:dyDescent="0.2">
      <c r="A78" s="45"/>
      <c r="B78" s="31" t="s">
        <v>390</v>
      </c>
      <c r="C78" s="31" t="s">
        <v>187</v>
      </c>
      <c r="D78" s="31" t="s">
        <v>195</v>
      </c>
      <c r="E78" s="31" t="s">
        <v>201</v>
      </c>
      <c r="F78" s="31" t="s">
        <v>391</v>
      </c>
      <c r="G78" s="32" t="s">
        <v>186</v>
      </c>
      <c r="H78" s="21">
        <v>-230.88</v>
      </c>
    </row>
    <row r="79" spans="1:8" s="29" customFormat="1" ht="20.100000000000001" customHeight="1" x14ac:dyDescent="0.2">
      <c r="A79" s="45"/>
      <c r="B79" s="31" t="s">
        <v>392</v>
      </c>
      <c r="C79" s="31" t="s">
        <v>187</v>
      </c>
      <c r="D79" s="31">
        <v>3476</v>
      </c>
      <c r="E79" s="31" t="s">
        <v>393</v>
      </c>
      <c r="F79" s="31" t="s">
        <v>394</v>
      </c>
      <c r="G79" s="31" t="s">
        <v>395</v>
      </c>
      <c r="H79" s="21">
        <v>-210.82</v>
      </c>
    </row>
    <row r="80" spans="1:8" s="29" customFormat="1" ht="20.100000000000001" customHeight="1" x14ac:dyDescent="0.2">
      <c r="A80" s="45"/>
      <c r="B80" s="31" t="s">
        <v>392</v>
      </c>
      <c r="C80" s="31" t="s">
        <v>187</v>
      </c>
      <c r="D80" s="31">
        <v>3477</v>
      </c>
      <c r="E80" s="31" t="s">
        <v>396</v>
      </c>
      <c r="F80" s="31" t="s">
        <v>397</v>
      </c>
      <c r="G80" s="31" t="s">
        <v>398</v>
      </c>
      <c r="H80" s="21">
        <v>-1570.43</v>
      </c>
    </row>
    <row r="81" spans="1:8" s="29" customFormat="1" ht="20.100000000000001" customHeight="1" x14ac:dyDescent="0.2">
      <c r="A81" s="45"/>
      <c r="B81" s="31" t="s">
        <v>392</v>
      </c>
      <c r="C81" s="31" t="s">
        <v>187</v>
      </c>
      <c r="D81" s="31">
        <v>3478</v>
      </c>
      <c r="E81" s="31" t="s">
        <v>399</v>
      </c>
      <c r="F81" s="31" t="s">
        <v>400</v>
      </c>
      <c r="G81" s="31" t="s">
        <v>213</v>
      </c>
      <c r="H81" s="21">
        <v>-42.9</v>
      </c>
    </row>
    <row r="82" spans="1:8" s="29" customFormat="1" ht="20.100000000000001" customHeight="1" x14ac:dyDescent="0.2">
      <c r="A82" s="45"/>
      <c r="B82" s="31" t="s">
        <v>392</v>
      </c>
      <c r="C82" s="31" t="s">
        <v>187</v>
      </c>
      <c r="D82" s="31">
        <v>3479</v>
      </c>
      <c r="E82" s="31" t="s">
        <v>313</v>
      </c>
      <c r="F82" s="31" t="s">
        <v>401</v>
      </c>
      <c r="G82" s="31" t="s">
        <v>257</v>
      </c>
      <c r="H82" s="21">
        <v>-1177.01</v>
      </c>
    </row>
    <row r="83" spans="1:8" s="29" customFormat="1" ht="20.100000000000001" customHeight="1" x14ac:dyDescent="0.2">
      <c r="A83" s="45"/>
      <c r="B83" s="31" t="s">
        <v>392</v>
      </c>
      <c r="C83" s="31" t="s">
        <v>187</v>
      </c>
      <c r="D83" s="31">
        <v>3480</v>
      </c>
      <c r="E83" s="31" t="s">
        <v>190</v>
      </c>
      <c r="F83" s="31" t="s">
        <v>402</v>
      </c>
      <c r="G83" s="31" t="s">
        <v>191</v>
      </c>
      <c r="H83" s="21">
        <v>-1747.59</v>
      </c>
    </row>
    <row r="84" spans="1:8" s="29" customFormat="1" ht="20.100000000000001" customHeight="1" x14ac:dyDescent="0.2">
      <c r="A84" s="45"/>
      <c r="B84" s="31" t="s">
        <v>392</v>
      </c>
      <c r="C84" s="31" t="s">
        <v>187</v>
      </c>
      <c r="D84" s="31">
        <v>3481</v>
      </c>
      <c r="E84" s="31" t="s">
        <v>189</v>
      </c>
      <c r="F84" s="31" t="s">
        <v>403</v>
      </c>
      <c r="G84" s="31" t="s">
        <v>301</v>
      </c>
      <c r="H84" s="21">
        <v>-137.66999999999999</v>
      </c>
    </row>
    <row r="85" spans="1:8" s="29" customFormat="1" ht="20.100000000000001" customHeight="1" x14ac:dyDescent="0.2">
      <c r="A85" s="45"/>
      <c r="B85" s="31" t="s">
        <v>392</v>
      </c>
      <c r="C85" s="31" t="s">
        <v>187</v>
      </c>
      <c r="D85" s="31">
        <v>3482</v>
      </c>
      <c r="E85" s="31" t="s">
        <v>194</v>
      </c>
      <c r="F85" s="31" t="s">
        <v>404</v>
      </c>
      <c r="G85" s="32" t="s">
        <v>186</v>
      </c>
      <c r="H85" s="21">
        <v>-522.85</v>
      </c>
    </row>
    <row r="86" spans="1:8" s="29" customFormat="1" ht="20.100000000000001" customHeight="1" x14ac:dyDescent="0.2">
      <c r="A86" s="45"/>
      <c r="B86" s="31" t="s">
        <v>392</v>
      </c>
      <c r="C86" s="31" t="s">
        <v>187</v>
      </c>
      <c r="D86" s="31">
        <v>1022</v>
      </c>
      <c r="E86" s="31" t="s">
        <v>405</v>
      </c>
      <c r="F86" s="31" t="s">
        <v>406</v>
      </c>
      <c r="G86" s="31" t="s">
        <v>395</v>
      </c>
      <c r="H86" s="21">
        <v>-4351.6000000000004</v>
      </c>
    </row>
    <row r="87" spans="1:8" s="29" customFormat="1" ht="20.100000000000001" customHeight="1" x14ac:dyDescent="0.2">
      <c r="A87" s="45"/>
      <c r="B87" s="31" t="s">
        <v>392</v>
      </c>
      <c r="C87" s="31" t="s">
        <v>187</v>
      </c>
      <c r="D87" s="31">
        <v>3483</v>
      </c>
      <c r="E87" s="31" t="s">
        <v>245</v>
      </c>
      <c r="F87" s="31" t="s">
        <v>407</v>
      </c>
      <c r="G87" s="31" t="s">
        <v>299</v>
      </c>
      <c r="H87" s="21">
        <v>-16.940000000000001</v>
      </c>
    </row>
    <row r="88" spans="1:8" s="29" customFormat="1" ht="20.100000000000001" customHeight="1" x14ac:dyDescent="0.2">
      <c r="A88" s="45"/>
      <c r="B88" s="31" t="s">
        <v>392</v>
      </c>
      <c r="C88" s="31" t="s">
        <v>408</v>
      </c>
      <c r="D88" s="31"/>
      <c r="E88" s="31" t="s">
        <v>360</v>
      </c>
      <c r="F88" s="31"/>
      <c r="G88" s="31" t="s">
        <v>409</v>
      </c>
      <c r="H88" s="21">
        <v>81.459999999999994</v>
      </c>
    </row>
    <row r="89" spans="1:8" s="29" customFormat="1" ht="20.100000000000001" customHeight="1" x14ac:dyDescent="0.2">
      <c r="A89" s="45"/>
      <c r="B89" s="31" t="s">
        <v>392</v>
      </c>
      <c r="C89" s="31" t="s">
        <v>408</v>
      </c>
      <c r="D89" s="31"/>
      <c r="E89" s="31" t="s">
        <v>360</v>
      </c>
      <c r="F89" s="31"/>
      <c r="G89" s="31" t="s">
        <v>409</v>
      </c>
      <c r="H89" s="21">
        <v>84.37</v>
      </c>
    </row>
    <row r="90" spans="1:8" s="29" customFormat="1" ht="20.100000000000001" customHeight="1" x14ac:dyDescent="0.2">
      <c r="A90" s="45"/>
      <c r="B90" s="31" t="s">
        <v>392</v>
      </c>
      <c r="C90" s="31" t="s">
        <v>185</v>
      </c>
      <c r="D90" s="31"/>
      <c r="E90" s="31"/>
      <c r="F90" s="31"/>
      <c r="G90" s="32" t="s">
        <v>186</v>
      </c>
      <c r="H90" s="21">
        <v>4225.8</v>
      </c>
    </row>
    <row r="91" spans="1:8" s="29" customFormat="1" ht="20.100000000000001" customHeight="1" x14ac:dyDescent="0.2">
      <c r="A91" s="45"/>
      <c r="B91" s="31" t="s">
        <v>410</v>
      </c>
      <c r="C91" s="31" t="s">
        <v>185</v>
      </c>
      <c r="D91" s="31" t="s">
        <v>214</v>
      </c>
      <c r="E91" s="31"/>
      <c r="F91" s="31" t="s">
        <v>215</v>
      </c>
      <c r="G91" s="31" t="s">
        <v>216</v>
      </c>
      <c r="H91" s="21">
        <v>578.88</v>
      </c>
    </row>
    <row r="92" spans="1:8" s="29" customFormat="1" ht="20.100000000000001" customHeight="1" x14ac:dyDescent="0.2">
      <c r="A92" s="45"/>
      <c r="B92" s="31" t="s">
        <v>410</v>
      </c>
      <c r="C92" s="31" t="s">
        <v>185</v>
      </c>
      <c r="D92" s="31" t="s">
        <v>214</v>
      </c>
      <c r="E92" s="31"/>
      <c r="F92" s="31" t="s">
        <v>215</v>
      </c>
      <c r="G92" s="31" t="s">
        <v>216</v>
      </c>
      <c r="H92" s="21">
        <v>24.48</v>
      </c>
    </row>
    <row r="93" spans="1:8" s="29" customFormat="1" ht="20.100000000000001" customHeight="1" x14ac:dyDescent="0.2">
      <c r="A93" s="45"/>
      <c r="B93" s="31" t="s">
        <v>410</v>
      </c>
      <c r="C93" s="31" t="s">
        <v>185</v>
      </c>
      <c r="D93" s="31" t="s">
        <v>214</v>
      </c>
      <c r="E93" s="31"/>
      <c r="F93" s="31" t="s">
        <v>215</v>
      </c>
      <c r="G93" s="31" t="s">
        <v>216</v>
      </c>
      <c r="H93" s="21">
        <v>942.62</v>
      </c>
    </row>
    <row r="94" spans="1:8" s="29" customFormat="1" ht="20.100000000000001" customHeight="1" x14ac:dyDescent="0.2">
      <c r="A94" s="45"/>
      <c r="B94" s="45"/>
      <c r="C94" s="45"/>
      <c r="D94" s="45"/>
      <c r="E94" s="45"/>
      <c r="F94" s="45"/>
      <c r="G94" s="45"/>
      <c r="H94" s="45"/>
    </row>
    <row r="95" spans="1:8" s="29" customFormat="1" ht="20.100000000000001" customHeight="1" x14ac:dyDescent="0.2">
      <c r="A95" s="45"/>
      <c r="B95" s="45"/>
      <c r="C95" s="45"/>
      <c r="D95" s="45"/>
      <c r="E95" s="45"/>
      <c r="F95" s="45"/>
      <c r="G95" s="45"/>
      <c r="H95" s="45"/>
    </row>
    <row r="96" spans="1:8" s="29" customFormat="1" ht="20.100000000000001" customHeight="1" x14ac:dyDescent="0.2">
      <c r="A96" s="48" t="s">
        <v>411</v>
      </c>
      <c r="B96" s="49"/>
      <c r="C96" s="49"/>
      <c r="D96" s="49"/>
      <c r="E96" s="49"/>
      <c r="F96" s="49"/>
      <c r="G96" s="49"/>
      <c r="H96" s="49"/>
    </row>
    <row r="97" spans="1:8" s="29" customFormat="1" ht="20.100000000000001" customHeight="1" x14ac:dyDescent="0.2">
      <c r="A97" s="36"/>
      <c r="B97" s="31"/>
      <c r="C97" s="31"/>
      <c r="D97" s="31"/>
      <c r="E97" s="31"/>
      <c r="F97" s="31"/>
      <c r="G97" s="31"/>
      <c r="H97" s="21"/>
    </row>
    <row r="98" spans="1:8" s="29" customFormat="1" ht="20.100000000000001" customHeight="1" x14ac:dyDescent="0.2">
      <c r="A98" s="36"/>
      <c r="B98" s="31"/>
      <c r="C98" s="31"/>
      <c r="D98" s="31"/>
      <c r="E98" s="31"/>
      <c r="F98" s="31"/>
      <c r="G98" s="31"/>
      <c r="H98" s="21"/>
    </row>
    <row r="99" spans="1:8" s="29" customFormat="1" ht="20.100000000000001" customHeight="1" x14ac:dyDescent="0.2">
      <c r="A99" s="36"/>
      <c r="B99" s="31"/>
      <c r="C99" s="31"/>
      <c r="D99" s="31"/>
      <c r="E99" s="31"/>
      <c r="F99" s="31"/>
      <c r="G99" s="32"/>
      <c r="H99" s="21"/>
    </row>
    <row r="100" spans="1:8" s="29" customFormat="1" ht="20.100000000000001" customHeight="1" x14ac:dyDescent="0.2">
      <c r="A100" s="36"/>
      <c r="B100" s="31"/>
      <c r="C100" s="31"/>
      <c r="D100" s="31"/>
      <c r="E100" s="31"/>
      <c r="F100" s="31"/>
      <c r="G100" s="32"/>
      <c r="H100" s="21"/>
    </row>
    <row r="101" spans="1:8" s="29" customFormat="1" ht="20.100000000000001" customHeight="1" x14ac:dyDescent="0.2">
      <c r="A101" s="36"/>
      <c r="B101" s="31"/>
      <c r="C101" s="31"/>
      <c r="D101" s="31"/>
      <c r="E101" s="31"/>
      <c r="F101" s="31"/>
      <c r="G101" s="32"/>
      <c r="H101" s="21"/>
    </row>
    <row r="102" spans="1:8" s="29" customFormat="1" ht="20.100000000000001" customHeight="1" x14ac:dyDescent="0.2">
      <c r="A102" s="36"/>
      <c r="B102" s="31"/>
      <c r="C102" s="31"/>
      <c r="D102" s="31"/>
      <c r="E102" s="31"/>
      <c r="F102" s="31"/>
      <c r="G102" s="32"/>
      <c r="H102" s="21"/>
    </row>
    <row r="103" spans="1:8" s="29" customFormat="1" ht="20.100000000000001" customHeight="1" x14ac:dyDescent="0.2">
      <c r="A103" s="36"/>
      <c r="B103" s="31"/>
      <c r="C103" s="31"/>
      <c r="D103" s="31"/>
      <c r="E103" s="31"/>
      <c r="F103" s="31"/>
      <c r="G103" s="32"/>
      <c r="H103" s="21"/>
    </row>
    <row r="104" spans="1:8" s="29" customFormat="1" ht="20.100000000000001" customHeight="1" x14ac:dyDescent="0.2">
      <c r="A104" s="36"/>
      <c r="B104" s="31"/>
      <c r="C104" s="31"/>
      <c r="D104" s="31"/>
      <c r="E104" s="31"/>
      <c r="F104" s="31"/>
      <c r="G104" s="32"/>
      <c r="H104" s="21"/>
    </row>
    <row r="105" spans="1:8" s="29" customFormat="1" ht="20.100000000000001" customHeight="1" x14ac:dyDescent="0.2">
      <c r="A105" s="36"/>
      <c r="B105" s="31"/>
      <c r="C105" s="31"/>
      <c r="D105" s="31"/>
      <c r="E105" s="31"/>
      <c r="F105" s="31"/>
      <c r="G105" s="32"/>
      <c r="H105" s="21"/>
    </row>
    <row r="106" spans="1:8" s="29" customFormat="1" ht="20.100000000000001" customHeight="1" x14ac:dyDescent="0.2">
      <c r="A106" s="36"/>
      <c r="B106" s="31"/>
      <c r="C106" s="31"/>
      <c r="D106" s="31"/>
      <c r="E106" s="31"/>
      <c r="F106" s="31"/>
      <c r="G106" s="32"/>
      <c r="H106" s="21"/>
    </row>
    <row r="107" spans="1:8" s="29" customFormat="1" ht="20.100000000000001" customHeight="1" x14ac:dyDescent="0.2">
      <c r="A107" s="36"/>
      <c r="B107" s="31"/>
      <c r="C107" s="31"/>
      <c r="D107" s="31"/>
      <c r="E107" s="31"/>
      <c r="F107" s="31"/>
      <c r="G107" s="32"/>
      <c r="H107" s="21"/>
    </row>
    <row r="108" spans="1:8" s="29" customFormat="1" ht="20.100000000000001" customHeight="1" x14ac:dyDescent="0.2">
      <c r="A108" s="36"/>
      <c r="B108" s="31"/>
      <c r="C108" s="31"/>
      <c r="D108" s="31"/>
      <c r="E108" s="31"/>
      <c r="F108" s="31"/>
      <c r="G108" s="32"/>
      <c r="H108" s="21"/>
    </row>
    <row r="109" spans="1:8" s="29" customFormat="1" ht="20.100000000000001" customHeight="1" x14ac:dyDescent="0.2">
      <c r="A109" s="36"/>
      <c r="B109" s="36"/>
      <c r="C109" s="36"/>
      <c r="D109" s="36"/>
      <c r="E109" s="36"/>
      <c r="F109" s="36"/>
      <c r="G109" s="36"/>
      <c r="H109" s="36"/>
    </row>
    <row r="110" spans="1:8" s="29" customFormat="1" ht="20.100000000000001" customHeight="1" x14ac:dyDescent="0.2">
      <c r="A110" s="36"/>
      <c r="B110" s="36"/>
      <c r="C110" s="36"/>
      <c r="D110" s="36"/>
      <c r="E110" s="36"/>
      <c r="F110" s="36"/>
      <c r="G110" s="36"/>
      <c r="H110" s="36"/>
    </row>
    <row r="111" spans="1:8" s="29" customFormat="1" ht="20.100000000000001" customHeight="1" x14ac:dyDescent="0.2">
      <c r="A111" s="48"/>
      <c r="B111" s="49"/>
      <c r="C111" s="49"/>
      <c r="D111" s="49"/>
      <c r="E111" s="49"/>
      <c r="F111" s="49"/>
      <c r="G111" s="49"/>
      <c r="H111" s="49"/>
    </row>
    <row r="112" spans="1:8" s="29" customFormat="1" ht="20.100000000000001" customHeight="1" x14ac:dyDescent="0.2">
      <c r="A112" s="30"/>
      <c r="B112" s="31"/>
      <c r="C112" s="31"/>
      <c r="D112" s="31"/>
      <c r="E112" s="31"/>
      <c r="F112" s="31"/>
      <c r="G112" s="31"/>
      <c r="H112" s="21"/>
    </row>
    <row r="113" spans="1:8" s="29" customFormat="1" ht="20.100000000000001" customHeight="1" x14ac:dyDescent="0.2">
      <c r="A113" s="30"/>
      <c r="B113" s="31"/>
      <c r="C113" s="31"/>
      <c r="D113" s="31"/>
      <c r="E113" s="31"/>
      <c r="F113" s="31"/>
      <c r="G113" s="31"/>
      <c r="H113" s="21"/>
    </row>
    <row r="114" spans="1:8" s="29" customFormat="1" ht="20.100000000000001" customHeight="1" x14ac:dyDescent="0.2">
      <c r="A114" s="30"/>
      <c r="B114" s="31"/>
      <c r="C114" s="31"/>
      <c r="D114" s="31"/>
      <c r="E114" s="31"/>
      <c r="F114" s="31"/>
      <c r="G114" s="31"/>
      <c r="H114" s="21"/>
    </row>
    <row r="115" spans="1:8" s="29" customFormat="1" ht="20.100000000000001" customHeight="1" x14ac:dyDescent="0.2">
      <c r="A115" s="30"/>
      <c r="B115" s="31"/>
      <c r="C115" s="31"/>
      <c r="D115" s="31"/>
      <c r="E115" s="31"/>
      <c r="F115" s="31"/>
      <c r="G115" s="31"/>
      <c r="H115" s="21"/>
    </row>
    <row r="116" spans="1:8" s="29" customFormat="1" ht="20.100000000000001" customHeight="1" x14ac:dyDescent="0.2">
      <c r="A116" s="30"/>
      <c r="B116" s="31"/>
      <c r="C116" s="31"/>
      <c r="D116" s="31"/>
      <c r="E116" s="31"/>
      <c r="F116" s="31"/>
      <c r="G116" s="31"/>
      <c r="H116" s="21"/>
    </row>
    <row r="117" spans="1:8" s="29" customFormat="1" ht="20.100000000000001" customHeight="1" x14ac:dyDescent="0.2">
      <c r="A117" s="30"/>
      <c r="B117" s="31"/>
      <c r="C117" s="31"/>
      <c r="D117" s="31"/>
      <c r="E117" s="31"/>
      <c r="F117" s="31"/>
      <c r="G117" s="31"/>
      <c r="H117" s="21"/>
    </row>
    <row r="118" spans="1:8" s="29" customFormat="1" ht="20.100000000000001" customHeight="1" x14ac:dyDescent="0.2">
      <c r="A118" s="30"/>
      <c r="B118" s="31"/>
      <c r="C118" s="31"/>
      <c r="D118" s="31"/>
      <c r="E118" s="31"/>
      <c r="F118" s="31"/>
      <c r="G118" s="31"/>
      <c r="H118" s="21"/>
    </row>
    <row r="119" spans="1:8" s="29" customFormat="1" ht="20.100000000000001" customHeight="1" x14ac:dyDescent="0.2">
      <c r="A119" s="30"/>
      <c r="B119" s="31"/>
      <c r="C119" s="31"/>
      <c r="D119" s="31"/>
      <c r="E119" s="31"/>
      <c r="F119" s="31"/>
      <c r="G119" s="31"/>
      <c r="H119" s="21"/>
    </row>
    <row r="120" spans="1:8" s="29" customFormat="1" ht="20.100000000000001" customHeight="1" x14ac:dyDescent="0.2">
      <c r="A120" s="30"/>
      <c r="B120" s="31"/>
      <c r="C120" s="31"/>
      <c r="D120" s="31"/>
      <c r="E120" s="31"/>
      <c r="F120" s="31"/>
      <c r="G120" s="32"/>
      <c r="H120" s="21"/>
    </row>
    <row r="121" spans="1:8" s="29" customFormat="1" ht="20.100000000000001" customHeight="1" x14ac:dyDescent="0.2">
      <c r="A121" s="30"/>
      <c r="B121" s="31"/>
      <c r="C121" s="31"/>
      <c r="D121" s="31"/>
      <c r="E121" s="31"/>
      <c r="F121" s="31"/>
      <c r="G121" s="31"/>
      <c r="H121" s="21"/>
    </row>
    <row r="122" spans="1:8" s="29" customFormat="1" ht="20.100000000000001" customHeight="1" x14ac:dyDescent="0.2">
      <c r="A122" s="30"/>
      <c r="B122" s="31"/>
      <c r="C122" s="31"/>
      <c r="D122" s="31"/>
      <c r="E122" s="31"/>
      <c r="F122" s="31"/>
      <c r="G122" s="31"/>
      <c r="H122" s="21"/>
    </row>
    <row r="123" spans="1:8" s="29" customFormat="1" ht="20.100000000000001" customHeight="1" x14ac:dyDescent="0.2">
      <c r="A123" s="30"/>
      <c r="B123" s="31"/>
      <c r="C123" s="31"/>
      <c r="D123" s="31"/>
      <c r="E123" s="31"/>
      <c r="F123" s="31"/>
      <c r="G123" s="32"/>
      <c r="H123" s="21"/>
    </row>
    <row r="124" spans="1:8" s="29" customFormat="1" ht="20.100000000000001" customHeight="1" x14ac:dyDescent="0.2">
      <c r="A124" s="30"/>
      <c r="B124" s="31"/>
      <c r="C124" s="31"/>
      <c r="D124" s="31"/>
      <c r="E124" s="31"/>
      <c r="F124" s="31"/>
      <c r="G124" s="32"/>
      <c r="H124" s="21"/>
    </row>
    <row r="125" spans="1:8" s="29" customFormat="1" ht="20.100000000000001" customHeight="1" x14ac:dyDescent="0.2">
      <c r="A125" s="30"/>
      <c r="B125" s="31"/>
      <c r="C125" s="31"/>
      <c r="D125" s="31"/>
      <c r="E125" s="31"/>
      <c r="F125" s="31"/>
      <c r="G125" s="31"/>
      <c r="H125" s="21"/>
    </row>
    <row r="126" spans="1:8" s="29" customFormat="1" ht="20.100000000000001" customHeight="1" x14ac:dyDescent="0.2">
      <c r="A126" s="30"/>
      <c r="B126" s="31"/>
      <c r="C126" s="31"/>
      <c r="D126" s="31"/>
      <c r="E126" s="31"/>
      <c r="F126" s="31"/>
      <c r="G126" s="31"/>
      <c r="H126" s="21"/>
    </row>
    <row r="127" spans="1:8" s="29" customFormat="1" ht="20.100000000000001" customHeight="1" x14ac:dyDescent="0.2">
      <c r="A127" s="30"/>
      <c r="B127" s="31"/>
      <c r="C127" s="31"/>
      <c r="D127" s="31"/>
      <c r="E127" s="31"/>
      <c r="F127" s="31"/>
      <c r="G127" s="31"/>
      <c r="H127" s="21"/>
    </row>
    <row r="128" spans="1:8" s="29" customFormat="1" ht="20.100000000000001" customHeight="1" x14ac:dyDescent="0.2">
      <c r="A128" s="30"/>
      <c r="B128" s="31"/>
      <c r="C128" s="31"/>
      <c r="D128" s="31"/>
      <c r="E128" s="31"/>
      <c r="F128" s="31"/>
      <c r="G128" s="31"/>
      <c r="H128" s="21"/>
    </row>
    <row r="129" spans="1:8" s="29" customFormat="1" ht="20.100000000000001" customHeight="1" x14ac:dyDescent="0.2">
      <c r="A129" s="30"/>
      <c r="B129" s="31"/>
      <c r="C129" s="31"/>
      <c r="D129" s="31"/>
      <c r="E129" s="31"/>
      <c r="F129" s="31"/>
      <c r="G129" s="31"/>
      <c r="H129" s="21"/>
    </row>
    <row r="130" spans="1:8" s="29" customFormat="1" ht="20.100000000000001" customHeight="1" x14ac:dyDescent="0.2">
      <c r="A130" s="30"/>
      <c r="B130" s="31"/>
      <c r="C130" s="31"/>
      <c r="D130" s="31"/>
      <c r="E130" s="31"/>
      <c r="F130" s="31"/>
      <c r="G130" s="31"/>
      <c r="H130" s="21"/>
    </row>
    <row r="131" spans="1:8" s="29" customFormat="1" ht="20.100000000000001" customHeight="1" x14ac:dyDescent="0.2">
      <c r="A131" s="30"/>
      <c r="B131" s="31"/>
      <c r="C131" s="31"/>
      <c r="D131" s="31"/>
      <c r="E131" s="31"/>
      <c r="F131" s="31"/>
      <c r="G131" s="31"/>
      <c r="H131" s="21"/>
    </row>
    <row r="132" spans="1:8" s="29" customFormat="1" ht="20.100000000000001" customHeight="1" x14ac:dyDescent="0.2">
      <c r="A132" s="30"/>
      <c r="B132" s="31"/>
      <c r="C132" s="31"/>
      <c r="D132" s="31"/>
      <c r="E132" s="31"/>
      <c r="F132" s="31"/>
      <c r="G132" s="31"/>
      <c r="H132" s="21"/>
    </row>
    <row r="133" spans="1:8" s="29" customFormat="1" ht="20.100000000000001" customHeight="1" x14ac:dyDescent="0.2">
      <c r="A133" s="30"/>
      <c r="B133" s="31"/>
      <c r="C133" s="31"/>
      <c r="D133" s="31"/>
      <c r="E133" s="31"/>
      <c r="F133" s="31"/>
      <c r="G133" s="31"/>
      <c r="H133" s="21"/>
    </row>
    <row r="134" spans="1:8" ht="15.75" customHeight="1" x14ac:dyDescent="0.2">
      <c r="A134" s="30"/>
      <c r="B134" s="31"/>
      <c r="C134" s="31"/>
      <c r="D134" s="31"/>
      <c r="E134" s="31"/>
      <c r="F134" s="31"/>
      <c r="G134" s="31"/>
      <c r="H134" s="21"/>
    </row>
    <row r="135" spans="1:8" ht="15.75" customHeight="1" x14ac:dyDescent="0.2">
      <c r="A135" s="30"/>
      <c r="B135" s="31"/>
      <c r="C135" s="31"/>
      <c r="D135" s="31"/>
      <c r="E135" s="31"/>
      <c r="F135" s="31"/>
      <c r="G135" s="31"/>
      <c r="H135" s="21"/>
    </row>
    <row r="136" spans="1:8" ht="15.75" customHeight="1" x14ac:dyDescent="0.2">
      <c r="A136" s="30"/>
      <c r="B136" s="31"/>
      <c r="C136" s="31"/>
      <c r="D136" s="31"/>
      <c r="E136" s="31"/>
      <c r="F136" s="31"/>
      <c r="G136" s="32"/>
      <c r="H136" s="21"/>
    </row>
    <row r="137" spans="1:8" ht="15.75" customHeight="1" x14ac:dyDescent="0.2">
      <c r="A137" s="30"/>
      <c r="B137" s="31"/>
      <c r="C137" s="31"/>
      <c r="D137" s="31"/>
      <c r="E137" s="31"/>
      <c r="F137" s="31"/>
      <c r="G137" s="31"/>
      <c r="H137" s="21"/>
    </row>
    <row r="138" spans="1:8" ht="15.75" customHeight="1" x14ac:dyDescent="0.2">
      <c r="A138" s="30"/>
      <c r="B138" s="31"/>
      <c r="C138" s="31"/>
      <c r="D138" s="31"/>
      <c r="E138" s="31"/>
      <c r="F138" s="31"/>
      <c r="G138" s="32"/>
      <c r="H138" s="21"/>
    </row>
    <row r="139" spans="1:8" ht="15.75" customHeight="1" x14ac:dyDescent="0.2">
      <c r="A139" s="30"/>
      <c r="B139" s="31"/>
      <c r="C139" s="31"/>
      <c r="D139" s="31"/>
      <c r="E139" s="31"/>
      <c r="F139" s="31"/>
      <c r="G139" s="31"/>
      <c r="H139" s="21"/>
    </row>
    <row r="140" spans="1:8" ht="15.75" customHeight="1" x14ac:dyDescent="0.2">
      <c r="A140" s="30"/>
      <c r="B140" s="31"/>
      <c r="C140" s="31"/>
      <c r="D140" s="31"/>
      <c r="E140" s="31"/>
      <c r="F140" s="31"/>
      <c r="G140" s="31"/>
      <c r="H140" s="21"/>
    </row>
    <row r="141" spans="1:8" ht="15.75" customHeight="1" x14ac:dyDescent="0.2">
      <c r="A141" s="30"/>
      <c r="B141" s="31"/>
      <c r="C141" s="31"/>
      <c r="D141" s="31"/>
      <c r="E141" s="31"/>
      <c r="F141" s="31"/>
      <c r="G141" s="31"/>
      <c r="H141" s="21"/>
    </row>
    <row r="142" spans="1:8" ht="15.75" customHeight="1" x14ac:dyDescent="0.2">
      <c r="A142" s="30"/>
      <c r="B142" s="30"/>
      <c r="C142" s="30"/>
      <c r="D142" s="30"/>
      <c r="E142" s="30"/>
      <c r="F142" s="30"/>
      <c r="G142" s="30"/>
      <c r="H142" s="30"/>
    </row>
    <row r="143" spans="1:8" ht="15.75" customHeight="1" x14ac:dyDescent="0.2">
      <c r="A143" s="30"/>
      <c r="B143" s="30"/>
      <c r="C143" s="30"/>
      <c r="D143" s="30"/>
      <c r="E143" s="30"/>
      <c r="F143" s="30"/>
      <c r="G143" s="30"/>
      <c r="H143" s="30"/>
    </row>
    <row r="144" spans="1:8" ht="15.75" customHeight="1" x14ac:dyDescent="0.2">
      <c r="A144" s="48"/>
      <c r="B144" s="49"/>
      <c r="C144" s="49"/>
      <c r="D144" s="49"/>
      <c r="E144" s="49"/>
      <c r="F144" s="49"/>
      <c r="G144" s="49"/>
      <c r="H144" s="49"/>
    </row>
    <row r="145" spans="1:8" ht="15.75" customHeight="1" x14ac:dyDescent="0.25">
      <c r="A145" s="1"/>
      <c r="B145" s="7"/>
      <c r="C145" s="5"/>
      <c r="D145" s="5"/>
      <c r="E145" s="5"/>
      <c r="F145" s="28"/>
      <c r="G145" s="28"/>
      <c r="H145" s="3"/>
    </row>
    <row r="146" spans="1:8" ht="15.75" customHeight="1" x14ac:dyDescent="0.25">
      <c r="A146" s="1"/>
      <c r="B146" s="7"/>
      <c r="C146" s="5"/>
      <c r="D146" s="5"/>
      <c r="E146" s="5"/>
      <c r="F146" s="28"/>
      <c r="G146" s="28"/>
      <c r="H146" s="3"/>
    </row>
    <row r="147" spans="1:8" ht="15.75" customHeight="1" x14ac:dyDescent="0.25">
      <c r="A147" s="1"/>
      <c r="B147" s="7"/>
      <c r="C147" s="5"/>
      <c r="D147" s="5"/>
      <c r="E147" s="5"/>
      <c r="F147" s="28"/>
      <c r="G147" s="28"/>
      <c r="H147" s="3"/>
    </row>
    <row r="148" spans="1:8" ht="15.75" customHeight="1" x14ac:dyDescent="0.2">
      <c r="A148" s="57"/>
      <c r="B148" s="58"/>
      <c r="C148" s="60"/>
      <c r="D148" s="60"/>
      <c r="E148" s="60"/>
      <c r="F148" s="28"/>
      <c r="G148" s="54"/>
      <c r="H148" s="56"/>
    </row>
    <row r="149" spans="1:8" ht="15.75" customHeight="1" x14ac:dyDescent="0.2">
      <c r="A149" s="55"/>
      <c r="B149" s="59"/>
      <c r="C149" s="55"/>
      <c r="D149" s="55"/>
      <c r="E149" s="55"/>
      <c r="F149" s="28"/>
      <c r="G149" s="55"/>
      <c r="H149" s="55"/>
    </row>
    <row r="150" spans="1:8" ht="15.75" customHeight="1" x14ac:dyDescent="0.25">
      <c r="A150" s="1"/>
      <c r="B150" s="7"/>
      <c r="C150" s="5"/>
      <c r="D150" s="5"/>
      <c r="E150" s="5"/>
      <c r="F150" s="28"/>
      <c r="G150" s="28"/>
      <c r="H150" s="3"/>
    </row>
    <row r="151" spans="1:8" ht="15.75" customHeight="1" x14ac:dyDescent="0.25">
      <c r="A151" s="1"/>
      <c r="B151" s="7"/>
      <c r="C151" s="5"/>
      <c r="D151" s="5"/>
      <c r="E151" s="5"/>
      <c r="F151" s="28"/>
      <c r="G151" s="28"/>
      <c r="H151" s="3"/>
    </row>
    <row r="152" spans="1:8" ht="15.75" customHeight="1" x14ac:dyDescent="0.25">
      <c r="A152" s="1"/>
      <c r="B152" s="7"/>
      <c r="C152" s="5"/>
      <c r="D152" s="5"/>
      <c r="E152" s="5"/>
      <c r="F152" s="28"/>
      <c r="G152" s="28"/>
      <c r="H152" s="3"/>
    </row>
    <row r="153" spans="1:8" ht="15.75" customHeight="1" x14ac:dyDescent="0.25">
      <c r="A153" s="1"/>
      <c r="B153" s="7"/>
      <c r="C153" s="5"/>
      <c r="D153" s="5"/>
      <c r="E153" s="5"/>
      <c r="F153" s="28"/>
      <c r="G153" s="28"/>
      <c r="H153" s="3"/>
    </row>
    <row r="154" spans="1:8" ht="15.75" customHeight="1" x14ac:dyDescent="0.25">
      <c r="A154" s="1"/>
      <c r="B154" s="7"/>
      <c r="C154" s="5"/>
      <c r="D154" s="5"/>
      <c r="E154" s="5"/>
      <c r="F154" s="28"/>
      <c r="G154" s="28"/>
      <c r="H154" s="3"/>
    </row>
    <row r="155" spans="1:8" ht="15.75" customHeight="1" x14ac:dyDescent="0.25">
      <c r="A155" s="1"/>
      <c r="B155" s="7"/>
      <c r="C155" s="5"/>
      <c r="D155" s="5"/>
      <c r="E155" s="5"/>
      <c r="F155" s="28"/>
      <c r="G155" s="28"/>
      <c r="H155" s="3"/>
    </row>
    <row r="156" spans="1:8" ht="15.75" customHeight="1" x14ac:dyDescent="0.25">
      <c r="B156" s="6"/>
    </row>
    <row r="157" spans="1:8" ht="15.75" customHeight="1" x14ac:dyDescent="0.25">
      <c r="B157" s="6"/>
    </row>
    <row r="158" spans="1:8" ht="15.75" customHeight="1" x14ac:dyDescent="0.25">
      <c r="B158" s="6"/>
    </row>
    <row r="159" spans="1:8" ht="15.75" customHeight="1" x14ac:dyDescent="0.25">
      <c r="B159" s="6"/>
    </row>
    <row r="160" spans="1:8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  <row r="861" spans="2:2" ht="15.75" customHeight="1" x14ac:dyDescent="0.25">
      <c r="B861" s="6"/>
    </row>
    <row r="862" spans="2:2" ht="15.75" customHeight="1" x14ac:dyDescent="0.25">
      <c r="B862" s="6"/>
    </row>
    <row r="863" spans="2:2" ht="15.75" customHeight="1" x14ac:dyDescent="0.25">
      <c r="B863" s="6"/>
    </row>
    <row r="864" spans="2:2" ht="15.75" customHeight="1" x14ac:dyDescent="0.25">
      <c r="B864" s="6"/>
    </row>
    <row r="865" spans="2:2" ht="15.75" customHeight="1" x14ac:dyDescent="0.25">
      <c r="B865" s="6"/>
    </row>
    <row r="866" spans="2:2" ht="15.75" customHeight="1" x14ac:dyDescent="0.25">
      <c r="B866" s="6"/>
    </row>
    <row r="867" spans="2:2" ht="15.75" customHeight="1" x14ac:dyDescent="0.25">
      <c r="B867" s="6"/>
    </row>
    <row r="868" spans="2:2" ht="15.75" customHeight="1" x14ac:dyDescent="0.25">
      <c r="B868" s="6"/>
    </row>
    <row r="869" spans="2:2" ht="15.75" customHeight="1" x14ac:dyDescent="0.25">
      <c r="B869" s="6"/>
    </row>
    <row r="870" spans="2:2" ht="15.75" customHeight="1" x14ac:dyDescent="0.25">
      <c r="B870" s="6"/>
    </row>
    <row r="871" spans="2:2" ht="15.75" customHeight="1" x14ac:dyDescent="0.25">
      <c r="B871" s="6"/>
    </row>
    <row r="872" spans="2:2" ht="15.75" customHeight="1" x14ac:dyDescent="0.25">
      <c r="B872" s="6"/>
    </row>
    <row r="873" spans="2:2" ht="15.75" customHeight="1" x14ac:dyDescent="0.25">
      <c r="B873" s="6"/>
    </row>
    <row r="874" spans="2:2" ht="15.75" customHeight="1" x14ac:dyDescent="0.25">
      <c r="B874" s="6"/>
    </row>
    <row r="875" spans="2:2" ht="15.75" customHeight="1" x14ac:dyDescent="0.25">
      <c r="B875" s="6"/>
    </row>
    <row r="876" spans="2:2" ht="15.75" customHeight="1" x14ac:dyDescent="0.25">
      <c r="B876" s="6"/>
    </row>
    <row r="877" spans="2:2" ht="15.75" customHeight="1" x14ac:dyDescent="0.25">
      <c r="B877" s="6"/>
    </row>
    <row r="878" spans="2:2" ht="15.75" customHeight="1" x14ac:dyDescent="0.25">
      <c r="B878" s="6"/>
    </row>
    <row r="879" spans="2:2" ht="15.75" customHeight="1" x14ac:dyDescent="0.25">
      <c r="B879" s="6"/>
    </row>
    <row r="880" spans="2:2" ht="15.75" customHeight="1" x14ac:dyDescent="0.25">
      <c r="B880" s="6"/>
    </row>
    <row r="881" spans="2:2" ht="15.75" customHeight="1" x14ac:dyDescent="0.25">
      <c r="B881" s="6"/>
    </row>
    <row r="882" spans="2:2" ht="15.75" customHeight="1" x14ac:dyDescent="0.25">
      <c r="B882" s="6"/>
    </row>
    <row r="883" spans="2:2" ht="15.75" customHeight="1" x14ac:dyDescent="0.25">
      <c r="B883" s="6"/>
    </row>
    <row r="884" spans="2:2" ht="15.75" customHeight="1" x14ac:dyDescent="0.25">
      <c r="B884" s="6"/>
    </row>
    <row r="885" spans="2:2" ht="15.75" customHeight="1" x14ac:dyDescent="0.25">
      <c r="B885" s="6"/>
    </row>
    <row r="886" spans="2:2" ht="15.75" customHeight="1" x14ac:dyDescent="0.25">
      <c r="B886" s="6"/>
    </row>
    <row r="887" spans="2:2" ht="15.75" customHeight="1" x14ac:dyDescent="0.25">
      <c r="B887" s="6"/>
    </row>
    <row r="888" spans="2:2" ht="15.75" customHeight="1" x14ac:dyDescent="0.25">
      <c r="B888" s="6"/>
    </row>
    <row r="889" spans="2:2" ht="15.75" customHeight="1" x14ac:dyDescent="0.25">
      <c r="B889" s="6"/>
    </row>
    <row r="890" spans="2:2" ht="15.75" customHeight="1" x14ac:dyDescent="0.25">
      <c r="B890" s="6"/>
    </row>
    <row r="891" spans="2:2" ht="15.75" customHeight="1" x14ac:dyDescent="0.25">
      <c r="B891" s="6"/>
    </row>
    <row r="892" spans="2:2" ht="15.75" customHeight="1" x14ac:dyDescent="0.25">
      <c r="B892" s="6"/>
    </row>
    <row r="893" spans="2:2" ht="15.75" customHeight="1" x14ac:dyDescent="0.25">
      <c r="B893" s="6"/>
    </row>
    <row r="894" spans="2:2" ht="15.75" customHeight="1" x14ac:dyDescent="0.25">
      <c r="B894" s="6"/>
    </row>
    <row r="895" spans="2:2" ht="15.75" customHeight="1" x14ac:dyDescent="0.25">
      <c r="B895" s="6"/>
    </row>
    <row r="896" spans="2:2" ht="15.75" customHeight="1" x14ac:dyDescent="0.25">
      <c r="B896" s="6"/>
    </row>
    <row r="897" spans="2:2" ht="15.75" customHeight="1" x14ac:dyDescent="0.25">
      <c r="B897" s="6"/>
    </row>
    <row r="898" spans="2:2" ht="15.75" customHeight="1" x14ac:dyDescent="0.25">
      <c r="B898" s="6"/>
    </row>
    <row r="899" spans="2:2" ht="15.75" customHeight="1" x14ac:dyDescent="0.25">
      <c r="B899" s="6"/>
    </row>
    <row r="900" spans="2:2" ht="15.75" customHeight="1" x14ac:dyDescent="0.25">
      <c r="B900" s="6"/>
    </row>
    <row r="901" spans="2:2" ht="15.75" customHeight="1" x14ac:dyDescent="0.25">
      <c r="B901" s="6"/>
    </row>
    <row r="902" spans="2:2" ht="15.75" customHeight="1" x14ac:dyDescent="0.25">
      <c r="B902" s="6"/>
    </row>
    <row r="903" spans="2:2" ht="15.75" customHeight="1" x14ac:dyDescent="0.25">
      <c r="B903" s="6"/>
    </row>
    <row r="904" spans="2:2" ht="15.75" customHeight="1" x14ac:dyDescent="0.25">
      <c r="B904" s="6"/>
    </row>
    <row r="905" spans="2:2" ht="15.75" customHeight="1" x14ac:dyDescent="0.25">
      <c r="B905" s="6"/>
    </row>
    <row r="906" spans="2:2" ht="15.75" customHeight="1" x14ac:dyDescent="0.25">
      <c r="B906" s="6"/>
    </row>
    <row r="907" spans="2:2" ht="15.75" customHeight="1" x14ac:dyDescent="0.25">
      <c r="B907" s="6"/>
    </row>
    <row r="908" spans="2:2" ht="15.75" customHeight="1" x14ac:dyDescent="0.25">
      <c r="B908" s="6"/>
    </row>
    <row r="909" spans="2:2" ht="15.75" customHeight="1" x14ac:dyDescent="0.25">
      <c r="B909" s="6"/>
    </row>
    <row r="910" spans="2:2" ht="15.75" customHeight="1" x14ac:dyDescent="0.25">
      <c r="B910" s="6"/>
    </row>
    <row r="911" spans="2:2" ht="15.75" customHeight="1" x14ac:dyDescent="0.25">
      <c r="B911" s="6"/>
    </row>
    <row r="912" spans="2:2" ht="15.75" customHeight="1" x14ac:dyDescent="0.25">
      <c r="B912" s="6"/>
    </row>
    <row r="913" spans="2:2" ht="15.75" customHeight="1" x14ac:dyDescent="0.25">
      <c r="B913" s="6"/>
    </row>
    <row r="914" spans="2:2" ht="15.75" customHeight="1" x14ac:dyDescent="0.25">
      <c r="B914" s="6"/>
    </row>
    <row r="915" spans="2:2" ht="15.75" customHeight="1" x14ac:dyDescent="0.25">
      <c r="B915" s="6"/>
    </row>
    <row r="916" spans="2:2" ht="15.75" customHeight="1" x14ac:dyDescent="0.25">
      <c r="B916" s="6"/>
    </row>
    <row r="917" spans="2:2" ht="15.75" customHeight="1" x14ac:dyDescent="0.25">
      <c r="B917" s="6"/>
    </row>
    <row r="918" spans="2:2" ht="15.75" customHeight="1" x14ac:dyDescent="0.25">
      <c r="B918" s="6"/>
    </row>
    <row r="919" spans="2:2" ht="15.75" customHeight="1" x14ac:dyDescent="0.25">
      <c r="B919" s="6"/>
    </row>
    <row r="920" spans="2:2" ht="15.75" customHeight="1" x14ac:dyDescent="0.25">
      <c r="B920" s="6"/>
    </row>
    <row r="921" spans="2:2" ht="15.75" customHeight="1" x14ac:dyDescent="0.25">
      <c r="B921" s="6"/>
    </row>
    <row r="922" spans="2:2" ht="15.75" customHeight="1" x14ac:dyDescent="0.25">
      <c r="B922" s="6"/>
    </row>
    <row r="923" spans="2:2" ht="15.75" customHeight="1" x14ac:dyDescent="0.25">
      <c r="B923" s="6"/>
    </row>
    <row r="924" spans="2:2" ht="15.75" customHeight="1" x14ac:dyDescent="0.25">
      <c r="B924" s="6"/>
    </row>
    <row r="925" spans="2:2" ht="15.75" customHeight="1" x14ac:dyDescent="0.25">
      <c r="B925" s="6"/>
    </row>
    <row r="926" spans="2:2" ht="15.75" customHeight="1" x14ac:dyDescent="0.25">
      <c r="B926" s="6"/>
    </row>
    <row r="927" spans="2:2" ht="15.75" customHeight="1" x14ac:dyDescent="0.25">
      <c r="B927" s="6"/>
    </row>
    <row r="928" spans="2:2" ht="15.75" customHeight="1" x14ac:dyDescent="0.25">
      <c r="B928" s="6"/>
    </row>
    <row r="929" spans="2:2" ht="15.75" customHeight="1" x14ac:dyDescent="0.25">
      <c r="B929" s="6"/>
    </row>
    <row r="930" spans="2:2" ht="15.75" customHeight="1" x14ac:dyDescent="0.25">
      <c r="B930" s="6"/>
    </row>
    <row r="931" spans="2:2" ht="15.75" customHeight="1" x14ac:dyDescent="0.25">
      <c r="B931" s="6"/>
    </row>
    <row r="932" spans="2:2" ht="15.75" customHeight="1" x14ac:dyDescent="0.25">
      <c r="B932" s="6"/>
    </row>
    <row r="933" spans="2:2" ht="15.75" customHeight="1" x14ac:dyDescent="0.25">
      <c r="B933" s="6"/>
    </row>
    <row r="934" spans="2:2" ht="15.75" customHeight="1" x14ac:dyDescent="0.25">
      <c r="B934" s="6"/>
    </row>
    <row r="935" spans="2:2" ht="15.75" customHeight="1" x14ac:dyDescent="0.25">
      <c r="B935" s="6"/>
    </row>
    <row r="936" spans="2:2" ht="15.75" customHeight="1" x14ac:dyDescent="0.25">
      <c r="B936" s="6"/>
    </row>
    <row r="937" spans="2:2" ht="15.75" customHeight="1" x14ac:dyDescent="0.25">
      <c r="B937" s="6"/>
    </row>
    <row r="938" spans="2:2" ht="15.75" customHeight="1" x14ac:dyDescent="0.25">
      <c r="B938" s="6"/>
    </row>
    <row r="939" spans="2:2" ht="15.75" customHeight="1" x14ac:dyDescent="0.25">
      <c r="B939" s="6"/>
    </row>
    <row r="940" spans="2:2" ht="15.75" customHeight="1" x14ac:dyDescent="0.25">
      <c r="B940" s="6"/>
    </row>
    <row r="941" spans="2:2" ht="15.75" customHeight="1" x14ac:dyDescent="0.25">
      <c r="B941" s="6"/>
    </row>
    <row r="942" spans="2:2" ht="15.75" customHeight="1" x14ac:dyDescent="0.25">
      <c r="B942" s="6"/>
    </row>
    <row r="943" spans="2:2" ht="15.75" customHeight="1" x14ac:dyDescent="0.25">
      <c r="B943" s="6"/>
    </row>
    <row r="944" spans="2:2" ht="15.75" customHeight="1" x14ac:dyDescent="0.25">
      <c r="B944" s="6"/>
    </row>
    <row r="945" spans="2:2" ht="15.75" customHeight="1" x14ac:dyDescent="0.25">
      <c r="B945" s="6"/>
    </row>
    <row r="946" spans="2:2" ht="15.75" customHeight="1" x14ac:dyDescent="0.25">
      <c r="B946" s="6"/>
    </row>
    <row r="947" spans="2:2" ht="15.75" customHeight="1" x14ac:dyDescent="0.25">
      <c r="B947" s="6"/>
    </row>
    <row r="948" spans="2:2" ht="15.75" customHeight="1" x14ac:dyDescent="0.25">
      <c r="B948" s="6"/>
    </row>
    <row r="949" spans="2:2" ht="15.75" customHeight="1" x14ac:dyDescent="0.25">
      <c r="B949" s="6"/>
    </row>
    <row r="950" spans="2:2" ht="15.75" customHeight="1" x14ac:dyDescent="0.25">
      <c r="B950" s="6"/>
    </row>
    <row r="951" spans="2:2" ht="15.75" customHeight="1" x14ac:dyDescent="0.25">
      <c r="B951" s="6"/>
    </row>
    <row r="952" spans="2:2" ht="15.75" customHeight="1" x14ac:dyDescent="0.25">
      <c r="B952" s="6"/>
    </row>
    <row r="953" spans="2:2" ht="15.75" customHeight="1" x14ac:dyDescent="0.25">
      <c r="B953" s="6"/>
    </row>
    <row r="954" spans="2:2" ht="15.75" customHeight="1" x14ac:dyDescent="0.25">
      <c r="B954" s="6"/>
    </row>
    <row r="955" spans="2:2" ht="15.75" customHeight="1" x14ac:dyDescent="0.25">
      <c r="B955" s="6"/>
    </row>
    <row r="956" spans="2:2" ht="15.75" customHeight="1" x14ac:dyDescent="0.25">
      <c r="B956" s="6"/>
    </row>
    <row r="957" spans="2:2" ht="15.75" customHeight="1" x14ac:dyDescent="0.25">
      <c r="B957" s="6"/>
    </row>
    <row r="958" spans="2:2" ht="15.75" customHeight="1" x14ac:dyDescent="0.25">
      <c r="B958" s="6"/>
    </row>
    <row r="959" spans="2:2" ht="15.75" customHeight="1" x14ac:dyDescent="0.25">
      <c r="B959" s="6"/>
    </row>
    <row r="960" spans="2:2" ht="15.75" customHeight="1" x14ac:dyDescent="0.25">
      <c r="B960" s="6"/>
    </row>
    <row r="961" spans="2:2" ht="15.75" customHeight="1" x14ac:dyDescent="0.25">
      <c r="B961" s="6"/>
    </row>
    <row r="962" spans="2:2" ht="15.75" customHeight="1" x14ac:dyDescent="0.25">
      <c r="B962" s="6"/>
    </row>
    <row r="963" spans="2:2" ht="15.75" customHeight="1" x14ac:dyDescent="0.25">
      <c r="B963" s="6"/>
    </row>
    <row r="964" spans="2:2" ht="15.75" customHeight="1" x14ac:dyDescent="0.25">
      <c r="B964" s="6"/>
    </row>
    <row r="965" spans="2:2" ht="15.75" customHeight="1" x14ac:dyDescent="0.25">
      <c r="B965" s="6"/>
    </row>
    <row r="966" spans="2:2" ht="15.75" customHeight="1" x14ac:dyDescent="0.25">
      <c r="B966" s="6"/>
    </row>
    <row r="967" spans="2:2" ht="15.75" customHeight="1" x14ac:dyDescent="0.25">
      <c r="B967" s="6"/>
    </row>
    <row r="968" spans="2:2" ht="15.75" customHeight="1" x14ac:dyDescent="0.25">
      <c r="B968" s="6"/>
    </row>
    <row r="969" spans="2:2" ht="15.75" customHeight="1" x14ac:dyDescent="0.25">
      <c r="B969" s="6"/>
    </row>
    <row r="970" spans="2:2" ht="15.75" customHeight="1" x14ac:dyDescent="0.25">
      <c r="B970" s="6"/>
    </row>
    <row r="971" spans="2:2" ht="15.75" customHeight="1" x14ac:dyDescent="0.25">
      <c r="B971" s="6"/>
    </row>
    <row r="972" spans="2:2" ht="15.75" customHeight="1" x14ac:dyDescent="0.25">
      <c r="B972" s="6"/>
    </row>
    <row r="973" spans="2:2" ht="15.75" customHeight="1" x14ac:dyDescent="0.25">
      <c r="B973" s="6"/>
    </row>
    <row r="974" spans="2:2" ht="15.75" customHeight="1" x14ac:dyDescent="0.25">
      <c r="B974" s="6"/>
    </row>
    <row r="975" spans="2:2" ht="15.75" customHeight="1" x14ac:dyDescent="0.25">
      <c r="B975" s="6"/>
    </row>
    <row r="976" spans="2:2" ht="15.75" customHeight="1" x14ac:dyDescent="0.25">
      <c r="B976" s="6"/>
    </row>
    <row r="977" spans="2:2" ht="15.75" customHeight="1" x14ac:dyDescent="0.25">
      <c r="B977" s="6"/>
    </row>
    <row r="978" spans="2:2" ht="15.75" customHeight="1" x14ac:dyDescent="0.25">
      <c r="B978" s="6"/>
    </row>
    <row r="979" spans="2:2" ht="15.75" customHeight="1" x14ac:dyDescent="0.25">
      <c r="B979" s="6"/>
    </row>
    <row r="980" spans="2:2" ht="15.75" customHeight="1" x14ac:dyDescent="0.25">
      <c r="B980" s="6"/>
    </row>
    <row r="981" spans="2:2" ht="15.75" customHeight="1" x14ac:dyDescent="0.25">
      <c r="B981" s="6"/>
    </row>
    <row r="982" spans="2:2" ht="15.75" customHeight="1" x14ac:dyDescent="0.25">
      <c r="B982" s="6"/>
    </row>
    <row r="983" spans="2:2" ht="15.75" customHeight="1" x14ac:dyDescent="0.25">
      <c r="B983" s="6"/>
    </row>
    <row r="984" spans="2:2" ht="15.75" customHeight="1" x14ac:dyDescent="0.25">
      <c r="B984" s="6"/>
    </row>
    <row r="985" spans="2:2" ht="15.75" customHeight="1" x14ac:dyDescent="0.25">
      <c r="B985" s="6"/>
    </row>
    <row r="986" spans="2:2" ht="15.75" customHeight="1" x14ac:dyDescent="0.25">
      <c r="B986" s="6"/>
    </row>
    <row r="987" spans="2:2" ht="15.75" customHeight="1" x14ac:dyDescent="0.25">
      <c r="B987" s="6"/>
    </row>
    <row r="988" spans="2:2" ht="15.75" customHeight="1" x14ac:dyDescent="0.25">
      <c r="B988" s="6"/>
    </row>
    <row r="989" spans="2:2" ht="15.75" customHeight="1" x14ac:dyDescent="0.25">
      <c r="B989" s="6"/>
    </row>
    <row r="990" spans="2:2" ht="15.75" customHeight="1" x14ac:dyDescent="0.25">
      <c r="B990" s="6"/>
    </row>
    <row r="991" spans="2:2" ht="15.75" customHeight="1" x14ac:dyDescent="0.25">
      <c r="B991" s="6"/>
    </row>
    <row r="992" spans="2:2" ht="15.75" customHeight="1" x14ac:dyDescent="0.25">
      <c r="B992" s="6"/>
    </row>
    <row r="993" spans="2:2" ht="15.75" customHeight="1" x14ac:dyDescent="0.25">
      <c r="B993" s="6"/>
    </row>
    <row r="994" spans="2:2" ht="15.75" customHeight="1" x14ac:dyDescent="0.25">
      <c r="B994" s="6"/>
    </row>
    <row r="995" spans="2:2" ht="15.75" customHeight="1" x14ac:dyDescent="0.25">
      <c r="B995" s="6"/>
    </row>
    <row r="996" spans="2:2" ht="15.75" customHeight="1" x14ac:dyDescent="0.25">
      <c r="B996" s="6"/>
    </row>
    <row r="997" spans="2:2" ht="15.75" customHeight="1" x14ac:dyDescent="0.25">
      <c r="B997" s="6"/>
    </row>
    <row r="998" spans="2:2" ht="15.75" customHeight="1" x14ac:dyDescent="0.25">
      <c r="B998" s="6"/>
    </row>
    <row r="999" spans="2:2" ht="15.75" customHeight="1" x14ac:dyDescent="0.25">
      <c r="B999" s="6"/>
    </row>
    <row r="1000" spans="2:2" ht="15.75" customHeight="1" x14ac:dyDescent="0.25">
      <c r="B1000" s="6"/>
    </row>
  </sheetData>
  <mergeCells count="13">
    <mergeCell ref="A144:H144"/>
    <mergeCell ref="A1:H1"/>
    <mergeCell ref="A2:H2"/>
    <mergeCell ref="A3:H3"/>
    <mergeCell ref="G148:G149"/>
    <mergeCell ref="H148:H149"/>
    <mergeCell ref="A148:A149"/>
    <mergeCell ref="B148:B149"/>
    <mergeCell ref="C148:C149"/>
    <mergeCell ref="D148:D149"/>
    <mergeCell ref="E148:E149"/>
    <mergeCell ref="A111:H111"/>
    <mergeCell ref="A96:H96"/>
  </mergeCells>
  <printOptions gridLines="1"/>
  <pageMargins left="0.45" right="0.45" top="0.5" bottom="0.5" header="0" footer="0"/>
  <pageSetup scale="86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tabSelected="1" workbookViewId="0">
      <selection sqref="A1:B215"/>
    </sheetView>
  </sheetViews>
  <sheetFormatPr defaultColWidth="12.625" defaultRowHeight="15" customHeight="1" x14ac:dyDescent="0.2"/>
  <cols>
    <col min="1" max="1" width="41.375" customWidth="1"/>
    <col min="2" max="2" width="13" customWidth="1"/>
    <col min="3" max="3" width="10.5" customWidth="1"/>
    <col min="4" max="26" width="7.625" customWidth="1"/>
  </cols>
  <sheetData>
    <row r="1" spans="1:2" ht="18" x14ac:dyDescent="0.25">
      <c r="A1" s="50" t="s">
        <v>303</v>
      </c>
      <c r="B1" s="49"/>
    </row>
    <row r="2" spans="1:2" ht="18" x14ac:dyDescent="0.25">
      <c r="A2" s="50" t="s">
        <v>218</v>
      </c>
      <c r="B2" s="49"/>
    </row>
    <row r="3" spans="1:2" ht="14.25" x14ac:dyDescent="0.2">
      <c r="A3" s="51" t="s">
        <v>412</v>
      </c>
      <c r="B3" s="49"/>
    </row>
    <row r="4" spans="1:2" ht="14.25" x14ac:dyDescent="0.2">
      <c r="A4" s="45"/>
      <c r="B4" s="45"/>
    </row>
    <row r="5" spans="1:2" ht="14.25" x14ac:dyDescent="0.2">
      <c r="A5" s="47"/>
      <c r="B5" s="46" t="s">
        <v>1</v>
      </c>
    </row>
    <row r="6" spans="1:2" ht="14.25" x14ac:dyDescent="0.2">
      <c r="A6" s="19" t="s">
        <v>5</v>
      </c>
      <c r="B6" s="20"/>
    </row>
    <row r="7" spans="1:2" ht="14.25" x14ac:dyDescent="0.2">
      <c r="A7" s="19" t="s">
        <v>413</v>
      </c>
      <c r="B7" s="20"/>
    </row>
    <row r="8" spans="1:2" ht="14.25" x14ac:dyDescent="0.2">
      <c r="A8" s="19" t="s">
        <v>414</v>
      </c>
      <c r="B8" s="21">
        <f>1089.21</f>
        <v>1089.21</v>
      </c>
    </row>
    <row r="9" spans="1:2" ht="14.25" x14ac:dyDescent="0.2">
      <c r="A9" s="19" t="s">
        <v>415</v>
      </c>
      <c r="B9" s="21">
        <f>2012245.11</f>
        <v>2012245.11</v>
      </c>
    </row>
    <row r="10" spans="1:2" ht="14.25" x14ac:dyDescent="0.2">
      <c r="A10" s="19" t="s">
        <v>416</v>
      </c>
      <c r="B10" s="21">
        <f>1315078.72</f>
        <v>1315078.72</v>
      </c>
    </row>
    <row r="11" spans="1:2" ht="14.25" x14ac:dyDescent="0.2">
      <c r="A11" s="19" t="s">
        <v>417</v>
      </c>
      <c r="B11" s="21">
        <f>-27222.9</f>
        <v>-27222.9</v>
      </c>
    </row>
    <row r="12" spans="1:2" ht="14.25" x14ac:dyDescent="0.2">
      <c r="A12" s="19" t="s">
        <v>418</v>
      </c>
      <c r="B12" s="21">
        <f>17726.86</f>
        <v>17726.86</v>
      </c>
    </row>
    <row r="13" spans="1:2" ht="14.25" x14ac:dyDescent="0.2">
      <c r="A13" s="19" t="s">
        <v>419</v>
      </c>
      <c r="B13" s="21">
        <f>410</f>
        <v>410</v>
      </c>
    </row>
    <row r="14" spans="1:2" ht="14.25" x14ac:dyDescent="0.2">
      <c r="A14" s="19" t="s">
        <v>420</v>
      </c>
      <c r="B14" s="21">
        <f>323843.47</f>
        <v>323843.46999999997</v>
      </c>
    </row>
    <row r="15" spans="1:2" ht="14.25" x14ac:dyDescent="0.2">
      <c r="A15" s="19" t="s">
        <v>421</v>
      </c>
      <c r="B15" s="21">
        <f>2255.8</f>
        <v>2255.8000000000002</v>
      </c>
    </row>
    <row r="16" spans="1:2" ht="14.25" x14ac:dyDescent="0.2">
      <c r="A16" s="19" t="s">
        <v>422</v>
      </c>
      <c r="B16" s="21">
        <f>9151.65</f>
        <v>9151.65</v>
      </c>
    </row>
    <row r="17" spans="1:2" ht="14.25" x14ac:dyDescent="0.2">
      <c r="A17" s="19" t="s">
        <v>423</v>
      </c>
      <c r="B17" s="22">
        <f>((((((((B8)+(B9))+(B10))+(B11))+(B12))+(B13))+(B14))+(B15))+(B16)</f>
        <v>3654577.9199999995</v>
      </c>
    </row>
    <row r="18" spans="1:2" ht="14.25" x14ac:dyDescent="0.2">
      <c r="A18" s="19" t="s">
        <v>424</v>
      </c>
      <c r="B18" s="21">
        <f>-2375641.6</f>
        <v>-2375641.6</v>
      </c>
    </row>
    <row r="19" spans="1:2" ht="14.25" x14ac:dyDescent="0.2">
      <c r="A19" s="19" t="s">
        <v>425</v>
      </c>
      <c r="B19" s="21">
        <f>-59782.13</f>
        <v>-59782.13</v>
      </c>
    </row>
    <row r="20" spans="1:2" ht="14.25" x14ac:dyDescent="0.2">
      <c r="A20" s="19" t="s">
        <v>426</v>
      </c>
      <c r="B20" s="21">
        <f>-7102.81</f>
        <v>-7102.81</v>
      </c>
    </row>
    <row r="21" spans="1:2" ht="15.75" customHeight="1" x14ac:dyDescent="0.2">
      <c r="A21" s="19" t="s">
        <v>427</v>
      </c>
      <c r="B21" s="22">
        <f>((B18)+(B19))+(B20)</f>
        <v>-2442526.54</v>
      </c>
    </row>
    <row r="22" spans="1:2" ht="15.75" customHeight="1" x14ac:dyDescent="0.2">
      <c r="A22" s="19" t="s">
        <v>428</v>
      </c>
      <c r="B22" s="22">
        <f>((B7)+(B17))+(B21)</f>
        <v>1212051.3799999994</v>
      </c>
    </row>
    <row r="23" spans="1:2" ht="15.75" customHeight="1" x14ac:dyDescent="0.2">
      <c r="A23" s="19" t="s">
        <v>6</v>
      </c>
      <c r="B23" s="20"/>
    </row>
    <row r="24" spans="1:2" ht="15.75" customHeight="1" x14ac:dyDescent="0.2">
      <c r="A24" s="19" t="s">
        <v>7</v>
      </c>
      <c r="B24" s="21">
        <f>22910.46</f>
        <v>22910.46</v>
      </c>
    </row>
    <row r="25" spans="1:2" ht="15.75" customHeight="1" x14ac:dyDescent="0.2">
      <c r="A25" s="19" t="s">
        <v>8</v>
      </c>
      <c r="B25" s="21">
        <f>11571.86</f>
        <v>11571.86</v>
      </c>
    </row>
    <row r="26" spans="1:2" ht="15.75" customHeight="1" x14ac:dyDescent="0.2">
      <c r="A26" s="19" t="s">
        <v>9</v>
      </c>
      <c r="B26" s="21">
        <f>24770.38</f>
        <v>24770.38</v>
      </c>
    </row>
    <row r="27" spans="1:2" ht="15.75" customHeight="1" x14ac:dyDescent="0.2">
      <c r="A27" s="19" t="s">
        <v>10</v>
      </c>
      <c r="B27" s="21">
        <f>231799.32</f>
        <v>231799.32</v>
      </c>
    </row>
    <row r="28" spans="1:2" ht="15.75" customHeight="1" x14ac:dyDescent="0.2">
      <c r="A28" s="19" t="s">
        <v>11</v>
      </c>
      <c r="B28" s="21">
        <f>10269.9</f>
        <v>10269.9</v>
      </c>
    </row>
    <row r="29" spans="1:2" ht="15.75" customHeight="1" x14ac:dyDescent="0.2">
      <c r="A29" s="19" t="s">
        <v>241</v>
      </c>
      <c r="B29" s="21">
        <f>1916.66</f>
        <v>1916.66</v>
      </c>
    </row>
    <row r="30" spans="1:2" ht="15.75" customHeight="1" x14ac:dyDescent="0.2">
      <c r="A30" s="19" t="s">
        <v>13</v>
      </c>
      <c r="B30" s="21">
        <f>24698.7</f>
        <v>24698.7</v>
      </c>
    </row>
    <row r="31" spans="1:2" ht="15.75" customHeight="1" x14ac:dyDescent="0.2">
      <c r="A31" s="19" t="s">
        <v>14</v>
      </c>
      <c r="B31" s="21">
        <f>70311.85</f>
        <v>70311.850000000006</v>
      </c>
    </row>
    <row r="32" spans="1:2" ht="15.75" customHeight="1" x14ac:dyDescent="0.2">
      <c r="A32" s="19" t="s">
        <v>15</v>
      </c>
      <c r="B32" s="22">
        <f>((((((((B23)+(B24))+(B25))+(B26))+(B27))+(B28))+(B29))+(B30))+(B31)</f>
        <v>398249.13</v>
      </c>
    </row>
    <row r="33" spans="1:2" ht="15.75" customHeight="1" x14ac:dyDescent="0.2">
      <c r="A33" s="19" t="s">
        <v>16</v>
      </c>
      <c r="B33" s="20"/>
    </row>
    <row r="34" spans="1:2" ht="15.75" customHeight="1" x14ac:dyDescent="0.2">
      <c r="A34" s="19" t="s">
        <v>17</v>
      </c>
      <c r="B34" s="21">
        <f>4535</f>
        <v>4535</v>
      </c>
    </row>
    <row r="35" spans="1:2" ht="15.75" customHeight="1" x14ac:dyDescent="0.2">
      <c r="A35" s="19" t="s">
        <v>18</v>
      </c>
      <c r="B35" s="21">
        <f>1250</f>
        <v>1250</v>
      </c>
    </row>
    <row r="36" spans="1:2" ht="15.75" customHeight="1" x14ac:dyDescent="0.2">
      <c r="A36" s="19" t="s">
        <v>19</v>
      </c>
      <c r="B36" s="22">
        <f>((B33)+(B34))+(B35)</f>
        <v>5785</v>
      </c>
    </row>
    <row r="37" spans="1:2" ht="15.75" customHeight="1" x14ac:dyDescent="0.2">
      <c r="A37" s="19" t="s">
        <v>20</v>
      </c>
      <c r="B37" s="20"/>
    </row>
    <row r="38" spans="1:2" ht="15.75" customHeight="1" x14ac:dyDescent="0.2">
      <c r="A38" s="19" t="s">
        <v>429</v>
      </c>
      <c r="B38" s="21">
        <f>500</f>
        <v>500</v>
      </c>
    </row>
    <row r="39" spans="1:2" ht="15.75" customHeight="1" x14ac:dyDescent="0.2">
      <c r="A39" s="19" t="s">
        <v>251</v>
      </c>
      <c r="B39" s="21">
        <f>37983.96</f>
        <v>37983.96</v>
      </c>
    </row>
    <row r="40" spans="1:2" ht="15.75" customHeight="1" x14ac:dyDescent="0.2">
      <c r="A40" s="19" t="s">
        <v>24</v>
      </c>
      <c r="B40" s="21">
        <f>1100</f>
        <v>1100</v>
      </c>
    </row>
    <row r="41" spans="1:2" ht="15.75" customHeight="1" x14ac:dyDescent="0.2">
      <c r="A41" s="19" t="s">
        <v>26</v>
      </c>
      <c r="B41" s="22">
        <f>(((B37)+(B38))+(B39))+(B40)</f>
        <v>39583.96</v>
      </c>
    </row>
    <row r="42" spans="1:2" ht="15.75" customHeight="1" x14ac:dyDescent="0.2">
      <c r="A42" s="19" t="s">
        <v>27</v>
      </c>
      <c r="B42" s="20"/>
    </row>
    <row r="43" spans="1:2" ht="15.75" customHeight="1" x14ac:dyDescent="0.2">
      <c r="A43" s="19" t="s">
        <v>28</v>
      </c>
      <c r="B43" s="21">
        <f>4561.72</f>
        <v>4561.72</v>
      </c>
    </row>
    <row r="44" spans="1:2" ht="15.75" customHeight="1" x14ac:dyDescent="0.2">
      <c r="A44" s="19" t="s">
        <v>29</v>
      </c>
      <c r="B44" s="21">
        <f>10968.51</f>
        <v>10968.51</v>
      </c>
    </row>
    <row r="45" spans="1:2" ht="15.75" customHeight="1" x14ac:dyDescent="0.2">
      <c r="A45" s="19" t="s">
        <v>287</v>
      </c>
      <c r="B45" s="21">
        <f>800</f>
        <v>800</v>
      </c>
    </row>
    <row r="46" spans="1:2" ht="15.75" customHeight="1" x14ac:dyDescent="0.2">
      <c r="A46" s="19" t="s">
        <v>430</v>
      </c>
      <c r="B46" s="21">
        <f>1550</f>
        <v>1550</v>
      </c>
    </row>
    <row r="47" spans="1:2" ht="15.75" customHeight="1" x14ac:dyDescent="0.2">
      <c r="A47" s="19" t="s">
        <v>252</v>
      </c>
      <c r="B47" s="21">
        <f>3892.99</f>
        <v>3892.99</v>
      </c>
    </row>
    <row r="48" spans="1:2" ht="15.75" customHeight="1" x14ac:dyDescent="0.2">
      <c r="A48" s="19" t="s">
        <v>431</v>
      </c>
      <c r="B48" s="21">
        <f>33.38</f>
        <v>33.380000000000003</v>
      </c>
    </row>
    <row r="49" spans="1:2" ht="15.75" customHeight="1" x14ac:dyDescent="0.2">
      <c r="A49" s="19" t="s">
        <v>432</v>
      </c>
      <c r="B49" s="21">
        <f>132.45</f>
        <v>132.44999999999999</v>
      </c>
    </row>
    <row r="50" spans="1:2" ht="15.75" customHeight="1" x14ac:dyDescent="0.2">
      <c r="A50" s="19" t="s">
        <v>30</v>
      </c>
      <c r="B50" s="22">
        <f>(((((((B42)+(B43))+(B44))+(B45))+(B46))+(B47))+(B48))+(B49)</f>
        <v>21939.050000000003</v>
      </c>
    </row>
    <row r="51" spans="1:2" ht="15.75" customHeight="1" x14ac:dyDescent="0.2">
      <c r="A51" s="19" t="s">
        <v>31</v>
      </c>
      <c r="B51" s="20"/>
    </row>
    <row r="52" spans="1:2" ht="15.75" customHeight="1" x14ac:dyDescent="0.2">
      <c r="A52" s="19" t="s">
        <v>32</v>
      </c>
      <c r="B52" s="21">
        <f>459000</f>
        <v>459000</v>
      </c>
    </row>
    <row r="53" spans="1:2" ht="15.75" customHeight="1" x14ac:dyDescent="0.2">
      <c r="A53" s="19" t="s">
        <v>34</v>
      </c>
      <c r="B53" s="22">
        <f>(B51)+(B52)</f>
        <v>459000</v>
      </c>
    </row>
    <row r="54" spans="1:2" ht="15.75" customHeight="1" x14ac:dyDescent="0.2">
      <c r="A54" s="19" t="s">
        <v>35</v>
      </c>
      <c r="B54" s="22">
        <f>(((((B22)+(B32))+(B36))+(B41))+(B50))+(B53)</f>
        <v>2136608.5199999996</v>
      </c>
    </row>
    <row r="55" spans="1:2" ht="15.75" customHeight="1" x14ac:dyDescent="0.2">
      <c r="A55" s="19" t="s">
        <v>36</v>
      </c>
      <c r="B55" s="22">
        <f>(B54)-(0)</f>
        <v>2136608.5199999996</v>
      </c>
    </row>
    <row r="56" spans="1:2" ht="15.75" customHeight="1" x14ac:dyDescent="0.2">
      <c r="A56" s="19" t="s">
        <v>37</v>
      </c>
      <c r="B56" s="20"/>
    </row>
    <row r="57" spans="1:2" ht="15.75" customHeight="1" x14ac:dyDescent="0.2">
      <c r="A57" s="19" t="s">
        <v>38</v>
      </c>
      <c r="B57" s="20"/>
    </row>
    <row r="58" spans="1:2" ht="15.75" customHeight="1" x14ac:dyDescent="0.2">
      <c r="A58" s="19" t="s">
        <v>39</v>
      </c>
      <c r="B58" s="20"/>
    </row>
    <row r="59" spans="1:2" ht="15.75" customHeight="1" x14ac:dyDescent="0.2">
      <c r="A59" s="19" t="s">
        <v>40</v>
      </c>
      <c r="B59" s="21">
        <f>27000</f>
        <v>27000</v>
      </c>
    </row>
    <row r="60" spans="1:2" ht="15.75" customHeight="1" x14ac:dyDescent="0.2">
      <c r="A60" s="19" t="s">
        <v>41</v>
      </c>
      <c r="B60" s="21">
        <f>1174</f>
        <v>1174</v>
      </c>
    </row>
    <row r="61" spans="1:2" ht="15.75" customHeight="1" x14ac:dyDescent="0.2">
      <c r="A61" s="19" t="s">
        <v>42</v>
      </c>
      <c r="B61" s="21">
        <f>522.4</f>
        <v>522.4</v>
      </c>
    </row>
    <row r="62" spans="1:2" ht="15.75" customHeight="1" x14ac:dyDescent="0.2">
      <c r="A62" s="19" t="s">
        <v>43</v>
      </c>
      <c r="B62" s="22">
        <f>(((B58)+(B59))+(B60))+(B61)</f>
        <v>28696.400000000001</v>
      </c>
    </row>
    <row r="63" spans="1:2" ht="15.75" customHeight="1" x14ac:dyDescent="0.2">
      <c r="A63" s="19" t="s">
        <v>44</v>
      </c>
      <c r="B63" s="20"/>
    </row>
    <row r="64" spans="1:2" ht="15.75" customHeight="1" x14ac:dyDescent="0.2">
      <c r="A64" s="19" t="s">
        <v>45</v>
      </c>
      <c r="B64" s="21">
        <f>1005</f>
        <v>1005</v>
      </c>
    </row>
    <row r="65" spans="1:2" ht="15.75" customHeight="1" x14ac:dyDescent="0.2">
      <c r="A65" s="19" t="s">
        <v>46</v>
      </c>
      <c r="B65" s="22">
        <f>(B63)+(B64)</f>
        <v>1005</v>
      </c>
    </row>
    <row r="66" spans="1:2" ht="15.75" customHeight="1" x14ac:dyDescent="0.2">
      <c r="A66" s="19" t="s">
        <v>47</v>
      </c>
      <c r="B66" s="20"/>
    </row>
    <row r="67" spans="1:2" ht="15.75" customHeight="1" x14ac:dyDescent="0.2">
      <c r="A67" s="19" t="s">
        <v>48</v>
      </c>
      <c r="B67" s="21">
        <f>36382.4</f>
        <v>36382.400000000001</v>
      </c>
    </row>
    <row r="68" spans="1:2" ht="15.75" customHeight="1" x14ac:dyDescent="0.2">
      <c r="A68" s="19" t="s">
        <v>49</v>
      </c>
      <c r="B68" s="21">
        <f>17487.29</f>
        <v>17487.29</v>
      </c>
    </row>
    <row r="69" spans="1:2" ht="15.75" customHeight="1" x14ac:dyDescent="0.2">
      <c r="A69" s="19" t="s">
        <v>50</v>
      </c>
      <c r="B69" s="21">
        <f>8371.2</f>
        <v>8371.2000000000007</v>
      </c>
    </row>
    <row r="70" spans="1:2" ht="15.75" customHeight="1" x14ac:dyDescent="0.2">
      <c r="A70" s="19" t="s">
        <v>282</v>
      </c>
      <c r="B70" s="21">
        <f>668</f>
        <v>668</v>
      </c>
    </row>
    <row r="71" spans="1:2" ht="15.75" customHeight="1" x14ac:dyDescent="0.2">
      <c r="A71" s="19" t="s">
        <v>51</v>
      </c>
      <c r="B71" s="21">
        <f>871.9</f>
        <v>871.9</v>
      </c>
    </row>
    <row r="72" spans="1:2" ht="15.75" customHeight="1" x14ac:dyDescent="0.2">
      <c r="A72" s="19" t="s">
        <v>52</v>
      </c>
      <c r="B72" s="21">
        <f>2242.81</f>
        <v>2242.81</v>
      </c>
    </row>
    <row r="73" spans="1:2" ht="15.75" customHeight="1" x14ac:dyDescent="0.2">
      <c r="A73" s="19" t="s">
        <v>53</v>
      </c>
      <c r="B73" s="21">
        <f>1352.18</f>
        <v>1352.18</v>
      </c>
    </row>
    <row r="74" spans="1:2" ht="15.75" customHeight="1" x14ac:dyDescent="0.2">
      <c r="A74" s="19" t="s">
        <v>55</v>
      </c>
      <c r="B74" s="21">
        <f>1704.95</f>
        <v>1704.95</v>
      </c>
    </row>
    <row r="75" spans="1:2" ht="15.75" customHeight="1" x14ac:dyDescent="0.2">
      <c r="A75" s="19" t="s">
        <v>56</v>
      </c>
      <c r="B75" s="21">
        <f>7235.99</f>
        <v>7235.99</v>
      </c>
    </row>
    <row r="76" spans="1:2" ht="15.75" customHeight="1" x14ac:dyDescent="0.2">
      <c r="A76" s="19" t="s">
        <v>57</v>
      </c>
      <c r="B76" s="21">
        <f>405.9</f>
        <v>405.9</v>
      </c>
    </row>
    <row r="77" spans="1:2" ht="15.75" customHeight="1" x14ac:dyDescent="0.2">
      <c r="A77" s="19" t="s">
        <v>59</v>
      </c>
      <c r="B77" s="22">
        <f>((((((((((B66)+(B67))+(B68))+(B69))+(B70))+(B71))+(B72))+(B73))+(B74))+(B75))+(B76)</f>
        <v>76722.62</v>
      </c>
    </row>
    <row r="78" spans="1:2" ht="15.75" customHeight="1" x14ac:dyDescent="0.2">
      <c r="A78" s="19" t="s">
        <v>60</v>
      </c>
      <c r="B78" s="20"/>
    </row>
    <row r="79" spans="1:2" ht="15.75" customHeight="1" x14ac:dyDescent="0.2">
      <c r="A79" s="19" t="s">
        <v>61</v>
      </c>
      <c r="B79" s="21">
        <f>1830</f>
        <v>1830</v>
      </c>
    </row>
    <row r="80" spans="1:2" ht="15.75" customHeight="1" x14ac:dyDescent="0.2">
      <c r="A80" s="19" t="s">
        <v>62</v>
      </c>
      <c r="B80" s="21">
        <f>130.07</f>
        <v>130.07</v>
      </c>
    </row>
    <row r="81" spans="1:2" ht="15.75" customHeight="1" x14ac:dyDescent="0.2">
      <c r="A81" s="19" t="s">
        <v>63</v>
      </c>
      <c r="B81" s="21">
        <f>116.1</f>
        <v>116.1</v>
      </c>
    </row>
    <row r="82" spans="1:2" ht="15.75" customHeight="1" x14ac:dyDescent="0.2">
      <c r="A82" s="19" t="s">
        <v>64</v>
      </c>
      <c r="B82" s="21">
        <f>689.9</f>
        <v>689.9</v>
      </c>
    </row>
    <row r="83" spans="1:2" ht="15.75" customHeight="1" x14ac:dyDescent="0.2">
      <c r="A83" s="19" t="s">
        <v>65</v>
      </c>
      <c r="B83" s="22">
        <f>((((B78)+(B79))+(B80))+(B81))+(B82)</f>
        <v>2766.07</v>
      </c>
    </row>
    <row r="84" spans="1:2" ht="15.75" customHeight="1" x14ac:dyDescent="0.2">
      <c r="A84" s="19" t="s">
        <v>66</v>
      </c>
      <c r="B84" s="20"/>
    </row>
    <row r="85" spans="1:2" ht="15.75" customHeight="1" x14ac:dyDescent="0.2">
      <c r="A85" s="19" t="s">
        <v>67</v>
      </c>
      <c r="B85" s="21">
        <f>2122</f>
        <v>2122</v>
      </c>
    </row>
    <row r="86" spans="1:2" ht="15.75" customHeight="1" x14ac:dyDescent="0.2">
      <c r="A86" s="19" t="s">
        <v>68</v>
      </c>
      <c r="B86" s="21">
        <f>15000</f>
        <v>15000</v>
      </c>
    </row>
    <row r="87" spans="1:2" ht="15.75" customHeight="1" x14ac:dyDescent="0.2">
      <c r="A87" s="19" t="s">
        <v>69</v>
      </c>
      <c r="B87" s="22">
        <f>((B84)+(B85))+(B86)</f>
        <v>17122</v>
      </c>
    </row>
    <row r="88" spans="1:2" ht="15.75" customHeight="1" x14ac:dyDescent="0.2">
      <c r="A88" s="19" t="s">
        <v>70</v>
      </c>
      <c r="B88" s="20"/>
    </row>
    <row r="89" spans="1:2" ht="15.75" customHeight="1" x14ac:dyDescent="0.2">
      <c r="A89" s="19" t="s">
        <v>71</v>
      </c>
      <c r="B89" s="21">
        <f>58000</f>
        <v>58000</v>
      </c>
    </row>
    <row r="90" spans="1:2" ht="15.75" customHeight="1" x14ac:dyDescent="0.2">
      <c r="A90" s="19" t="s">
        <v>72</v>
      </c>
      <c r="B90" s="21">
        <f>399.9</f>
        <v>399.9</v>
      </c>
    </row>
    <row r="91" spans="1:2" ht="15.75" customHeight="1" x14ac:dyDescent="0.2">
      <c r="A91" s="19" t="s">
        <v>73</v>
      </c>
      <c r="B91" s="21">
        <f>250</f>
        <v>250</v>
      </c>
    </row>
    <row r="92" spans="1:2" ht="15.75" customHeight="1" x14ac:dyDescent="0.2">
      <c r="A92" s="19" t="s">
        <v>74</v>
      </c>
      <c r="B92" s="22">
        <f>(((B88)+(B89))+(B90))+(B91)</f>
        <v>58649.9</v>
      </c>
    </row>
    <row r="93" spans="1:2" ht="15.75" customHeight="1" x14ac:dyDescent="0.2">
      <c r="A93" s="19" t="s">
        <v>75</v>
      </c>
      <c r="B93" s="20"/>
    </row>
    <row r="94" spans="1:2" ht="15.75" customHeight="1" x14ac:dyDescent="0.2">
      <c r="A94" s="19" t="s">
        <v>76</v>
      </c>
      <c r="B94" s="21">
        <f>2550</f>
        <v>2550</v>
      </c>
    </row>
    <row r="95" spans="1:2" ht="15.75" customHeight="1" x14ac:dyDescent="0.2">
      <c r="A95" s="19" t="s">
        <v>77</v>
      </c>
      <c r="B95" s="21">
        <f>3639.88</f>
        <v>3639.88</v>
      </c>
    </row>
    <row r="96" spans="1:2" ht="15.75" customHeight="1" x14ac:dyDescent="0.2">
      <c r="A96" s="19" t="s">
        <v>78</v>
      </c>
      <c r="B96" s="21">
        <f>1508.65</f>
        <v>1508.65</v>
      </c>
    </row>
    <row r="97" spans="1:2" ht="15.75" customHeight="1" x14ac:dyDescent="0.2">
      <c r="A97" s="19" t="s">
        <v>79</v>
      </c>
      <c r="B97" s="21">
        <f>8190.77</f>
        <v>8190.77</v>
      </c>
    </row>
    <row r="98" spans="1:2" ht="15.75" customHeight="1" x14ac:dyDescent="0.2">
      <c r="A98" s="19" t="s">
        <v>80</v>
      </c>
      <c r="B98" s="21">
        <f>3464.5</f>
        <v>3464.5</v>
      </c>
    </row>
    <row r="99" spans="1:2" ht="15.75" customHeight="1" x14ac:dyDescent="0.2">
      <c r="A99" s="19" t="s">
        <v>81</v>
      </c>
      <c r="B99" s="21">
        <f>1025</f>
        <v>1025</v>
      </c>
    </row>
    <row r="100" spans="1:2" ht="15.75" customHeight="1" x14ac:dyDescent="0.2">
      <c r="A100" s="19" t="s">
        <v>82</v>
      </c>
      <c r="B100" s="21">
        <f>2129.67</f>
        <v>2129.67</v>
      </c>
    </row>
    <row r="101" spans="1:2" ht="15.75" customHeight="1" x14ac:dyDescent="0.2">
      <c r="A101" s="19" t="s">
        <v>83</v>
      </c>
      <c r="B101" s="22">
        <f>(((((((B93)+(B94))+(B95))+(B96))+(B97))+(B98))+(B99))+(B100)</f>
        <v>22508.47</v>
      </c>
    </row>
    <row r="102" spans="1:2" ht="15.75" customHeight="1" x14ac:dyDescent="0.2">
      <c r="A102" s="19" t="s">
        <v>84</v>
      </c>
      <c r="B102" s="20"/>
    </row>
    <row r="103" spans="1:2" ht="15.75" customHeight="1" x14ac:dyDescent="0.2">
      <c r="A103" s="19" t="s">
        <v>86</v>
      </c>
      <c r="B103" s="21">
        <f>9141</f>
        <v>9141</v>
      </c>
    </row>
    <row r="104" spans="1:2" ht="15.75" customHeight="1" x14ac:dyDescent="0.2">
      <c r="A104" s="19" t="s">
        <v>87</v>
      </c>
      <c r="B104" s="21">
        <f>21007</f>
        <v>21007</v>
      </c>
    </row>
    <row r="105" spans="1:2" ht="15.75" customHeight="1" x14ac:dyDescent="0.2">
      <c r="A105" s="19" t="s">
        <v>89</v>
      </c>
      <c r="B105" s="22">
        <f>((B102)+(B103))+(B104)</f>
        <v>30148</v>
      </c>
    </row>
    <row r="106" spans="1:2" ht="15.75" customHeight="1" x14ac:dyDescent="0.2">
      <c r="A106" s="19" t="s">
        <v>90</v>
      </c>
      <c r="B106" s="22">
        <f>((((((((B57)+(B62))+(B65))+(B77))+(B83))+(B87))+(B92))+(B101))+(B105)</f>
        <v>237618.46</v>
      </c>
    </row>
    <row r="107" spans="1:2" ht="15.75" customHeight="1" x14ac:dyDescent="0.2">
      <c r="A107" s="19" t="s">
        <v>91</v>
      </c>
      <c r="B107" s="20"/>
    </row>
    <row r="108" spans="1:2" ht="15.75" customHeight="1" x14ac:dyDescent="0.2">
      <c r="A108" s="19" t="s">
        <v>92</v>
      </c>
      <c r="B108" s="20"/>
    </row>
    <row r="109" spans="1:2" ht="15.75" customHeight="1" x14ac:dyDescent="0.2">
      <c r="A109" s="19" t="s">
        <v>93</v>
      </c>
      <c r="B109" s="21">
        <f>5200</f>
        <v>5200</v>
      </c>
    </row>
    <row r="110" spans="1:2" ht="15.75" customHeight="1" x14ac:dyDescent="0.2">
      <c r="A110" s="19" t="s">
        <v>94</v>
      </c>
      <c r="B110" s="21">
        <f>17000</f>
        <v>17000</v>
      </c>
    </row>
    <row r="111" spans="1:2" ht="15.75" customHeight="1" x14ac:dyDescent="0.2">
      <c r="A111" s="19" t="s">
        <v>95</v>
      </c>
      <c r="B111" s="21">
        <f>2345.71</f>
        <v>2345.71</v>
      </c>
    </row>
    <row r="112" spans="1:2" ht="15.75" customHeight="1" x14ac:dyDescent="0.2">
      <c r="A112" s="19" t="s">
        <v>96</v>
      </c>
      <c r="B112" s="21">
        <f>2000</f>
        <v>2000</v>
      </c>
    </row>
    <row r="113" spans="1:2" ht="15.75" customHeight="1" x14ac:dyDescent="0.2">
      <c r="A113" s="19" t="s">
        <v>97</v>
      </c>
      <c r="B113" s="21">
        <f>9379.16</f>
        <v>9379.16</v>
      </c>
    </row>
    <row r="114" spans="1:2" ht="15.75" customHeight="1" x14ac:dyDescent="0.2">
      <c r="A114" s="19" t="s">
        <v>98</v>
      </c>
      <c r="B114" s="21">
        <f>8391.4</f>
        <v>8391.4</v>
      </c>
    </row>
    <row r="115" spans="1:2" ht="15.75" customHeight="1" x14ac:dyDescent="0.2">
      <c r="A115" s="19" t="s">
        <v>99</v>
      </c>
      <c r="B115" s="21">
        <f>4077.58</f>
        <v>4077.58</v>
      </c>
    </row>
    <row r="116" spans="1:2" ht="15.75" customHeight="1" x14ac:dyDescent="0.2">
      <c r="A116" s="19" t="s">
        <v>100</v>
      </c>
      <c r="B116" s="21">
        <f>303.72</f>
        <v>303.72000000000003</v>
      </c>
    </row>
    <row r="117" spans="1:2" ht="15.75" customHeight="1" x14ac:dyDescent="0.2">
      <c r="A117" s="19" t="s">
        <v>101</v>
      </c>
      <c r="B117" s="21">
        <f>70</f>
        <v>70</v>
      </c>
    </row>
    <row r="118" spans="1:2" ht="15.75" customHeight="1" x14ac:dyDescent="0.2">
      <c r="A118" s="19" t="s">
        <v>102</v>
      </c>
      <c r="B118" s="21">
        <f>1876.56</f>
        <v>1876.56</v>
      </c>
    </row>
    <row r="119" spans="1:2" ht="15.75" customHeight="1" x14ac:dyDescent="0.2">
      <c r="A119" s="19" t="s">
        <v>103</v>
      </c>
      <c r="B119" s="21">
        <f>8953.87</f>
        <v>8953.8700000000008</v>
      </c>
    </row>
    <row r="120" spans="1:2" ht="15.75" customHeight="1" x14ac:dyDescent="0.2">
      <c r="A120" s="19" t="s">
        <v>106</v>
      </c>
      <c r="B120" s="22">
        <f>(((((((((((B108)+(B109))+(B110))+(B111))+(B112))+(B113))+(B114))+(B115))+(B116))+(B117))+(B118))+(B119)</f>
        <v>59598</v>
      </c>
    </row>
    <row r="121" spans="1:2" ht="15.75" customHeight="1" x14ac:dyDescent="0.2">
      <c r="A121" s="19" t="s">
        <v>107</v>
      </c>
      <c r="B121" s="20"/>
    </row>
    <row r="122" spans="1:2" ht="15.75" customHeight="1" x14ac:dyDescent="0.2">
      <c r="A122" s="19" t="s">
        <v>108</v>
      </c>
      <c r="B122" s="21">
        <f>3943.58</f>
        <v>3943.58</v>
      </c>
    </row>
    <row r="123" spans="1:2" ht="15.75" customHeight="1" x14ac:dyDescent="0.2">
      <c r="A123" s="19" t="s">
        <v>109</v>
      </c>
      <c r="B123" s="21">
        <f>39503.33</f>
        <v>39503.33</v>
      </c>
    </row>
    <row r="124" spans="1:2" ht="15.75" customHeight="1" x14ac:dyDescent="0.2">
      <c r="A124" s="19" t="s">
        <v>110</v>
      </c>
      <c r="B124" s="21">
        <f>2773.39</f>
        <v>2773.39</v>
      </c>
    </row>
    <row r="125" spans="1:2" ht="15.75" customHeight="1" x14ac:dyDescent="0.2">
      <c r="A125" s="19" t="s">
        <v>111</v>
      </c>
      <c r="B125" s="21">
        <f>400</f>
        <v>400</v>
      </c>
    </row>
    <row r="126" spans="1:2" ht="15.75" customHeight="1" x14ac:dyDescent="0.2">
      <c r="A126" s="19" t="s">
        <v>112</v>
      </c>
      <c r="B126" s="21">
        <f>7431.38</f>
        <v>7431.38</v>
      </c>
    </row>
    <row r="127" spans="1:2" ht="15.75" customHeight="1" x14ac:dyDescent="0.2">
      <c r="A127" s="19" t="s">
        <v>113</v>
      </c>
      <c r="B127" s="21">
        <f>1522.86</f>
        <v>1522.86</v>
      </c>
    </row>
    <row r="128" spans="1:2" ht="15.75" customHeight="1" x14ac:dyDescent="0.2">
      <c r="A128" s="19" t="s">
        <v>114</v>
      </c>
      <c r="B128" s="21">
        <f>3285.2</f>
        <v>3285.2</v>
      </c>
    </row>
    <row r="129" spans="1:2" ht="15.75" customHeight="1" x14ac:dyDescent="0.2">
      <c r="A129" s="19" t="s">
        <v>115</v>
      </c>
      <c r="B129" s="21">
        <f>1347.04</f>
        <v>1347.04</v>
      </c>
    </row>
    <row r="130" spans="1:2" ht="15.75" customHeight="1" x14ac:dyDescent="0.2">
      <c r="A130" s="19" t="s">
        <v>116</v>
      </c>
      <c r="B130" s="21">
        <f>1795.19</f>
        <v>1795.19</v>
      </c>
    </row>
    <row r="131" spans="1:2" ht="15.75" customHeight="1" x14ac:dyDescent="0.2">
      <c r="A131" s="19" t="s">
        <v>117</v>
      </c>
      <c r="B131" s="21">
        <f>3973.46</f>
        <v>3973.46</v>
      </c>
    </row>
    <row r="132" spans="1:2" ht="15.75" customHeight="1" x14ac:dyDescent="0.2">
      <c r="A132" s="19" t="s">
        <v>118</v>
      </c>
      <c r="B132" s="22">
        <f>((((((((((B121)+(B122))+(B123))+(B124))+(B125))+(B126))+(B127))+(B128))+(B129))+(B130))+(B131)</f>
        <v>65975.430000000008</v>
      </c>
    </row>
    <row r="133" spans="1:2" ht="15.75" customHeight="1" x14ac:dyDescent="0.2">
      <c r="A133" s="19" t="s">
        <v>119</v>
      </c>
      <c r="B133" s="22">
        <f>((B107)+(B120))+(B132)</f>
        <v>125573.43000000001</v>
      </c>
    </row>
    <row r="134" spans="1:2" ht="15.75" customHeight="1" x14ac:dyDescent="0.2">
      <c r="A134" s="19" t="s">
        <v>120</v>
      </c>
      <c r="B134" s="20"/>
    </row>
    <row r="135" spans="1:2" ht="15.75" customHeight="1" x14ac:dyDescent="0.2">
      <c r="A135" s="19" t="s">
        <v>121</v>
      </c>
      <c r="B135" s="21">
        <f>114.24</f>
        <v>114.24</v>
      </c>
    </row>
    <row r="136" spans="1:2" ht="15.75" customHeight="1" x14ac:dyDescent="0.2">
      <c r="A136" s="19" t="s">
        <v>122</v>
      </c>
      <c r="B136" s="21">
        <f>47420.8</f>
        <v>47420.800000000003</v>
      </c>
    </row>
    <row r="137" spans="1:2" ht="15.75" customHeight="1" x14ac:dyDescent="0.2">
      <c r="A137" s="19" t="s">
        <v>123</v>
      </c>
      <c r="B137" s="21">
        <f>113145.6</f>
        <v>113145.60000000001</v>
      </c>
    </row>
    <row r="138" spans="1:2" ht="15.75" customHeight="1" x14ac:dyDescent="0.2">
      <c r="A138" s="19" t="s">
        <v>124</v>
      </c>
      <c r="B138" s="21">
        <f>1448.37</f>
        <v>1448.37</v>
      </c>
    </row>
    <row r="139" spans="1:2" ht="15.75" customHeight="1" x14ac:dyDescent="0.2">
      <c r="A139" s="19" t="s">
        <v>125</v>
      </c>
      <c r="B139" s="21">
        <f>30966.8</f>
        <v>30966.799999999999</v>
      </c>
    </row>
    <row r="140" spans="1:2" ht="15.75" customHeight="1" x14ac:dyDescent="0.2">
      <c r="A140" s="19" t="s">
        <v>126</v>
      </c>
      <c r="B140" s="21">
        <f>69949.02</f>
        <v>69949.02</v>
      </c>
    </row>
    <row r="141" spans="1:2" ht="15.75" customHeight="1" x14ac:dyDescent="0.2">
      <c r="A141" s="19" t="s">
        <v>127</v>
      </c>
      <c r="B141" s="21">
        <f>4430.34</f>
        <v>4430.34</v>
      </c>
    </row>
    <row r="142" spans="1:2" ht="15.75" customHeight="1" x14ac:dyDescent="0.2">
      <c r="A142" s="19" t="s">
        <v>128</v>
      </c>
      <c r="B142" s="21">
        <f>11308.59</f>
        <v>11308.59</v>
      </c>
    </row>
    <row r="143" spans="1:2" ht="15.75" customHeight="1" x14ac:dyDescent="0.2">
      <c r="A143" s="19" t="s">
        <v>242</v>
      </c>
      <c r="B143" s="21">
        <f>17677.4</f>
        <v>17677.400000000001</v>
      </c>
    </row>
    <row r="144" spans="1:2" ht="15.75" customHeight="1" x14ac:dyDescent="0.2">
      <c r="A144" s="19" t="s">
        <v>243</v>
      </c>
      <c r="B144" s="21">
        <f>2173.99</f>
        <v>2173.9899999999998</v>
      </c>
    </row>
    <row r="145" spans="1:2" ht="15.75" customHeight="1" x14ac:dyDescent="0.2">
      <c r="A145" s="19" t="s">
        <v>129</v>
      </c>
      <c r="B145" s="21">
        <f>173.16</f>
        <v>173.16</v>
      </c>
    </row>
    <row r="146" spans="1:2" ht="15.75" customHeight="1" x14ac:dyDescent="0.2">
      <c r="A146" s="19" t="s">
        <v>130</v>
      </c>
      <c r="B146" s="21">
        <f>47714.71</f>
        <v>47714.71</v>
      </c>
    </row>
    <row r="147" spans="1:2" ht="15.75" customHeight="1" x14ac:dyDescent="0.2">
      <c r="A147" s="19" t="s">
        <v>295</v>
      </c>
      <c r="B147" s="21">
        <f>4612.43</f>
        <v>4612.43</v>
      </c>
    </row>
    <row r="148" spans="1:2" ht="15.75" customHeight="1" x14ac:dyDescent="0.2">
      <c r="A148" s="19" t="s">
        <v>131</v>
      </c>
      <c r="B148" s="22">
        <f>((((((((((((B135)+(B136))+(B137))+(B138))+(B139))+(B140))+(B141))+(B142))+(B143))+(B144))+(B145))+(B146))+(B147)</f>
        <v>351135.45000000007</v>
      </c>
    </row>
    <row r="149" spans="1:2" ht="15.75" customHeight="1" x14ac:dyDescent="0.2">
      <c r="A149" s="19" t="s">
        <v>132</v>
      </c>
      <c r="B149" s="21">
        <f>262115.11</f>
        <v>262115.11</v>
      </c>
    </row>
    <row r="150" spans="1:2" ht="15.75" customHeight="1" x14ac:dyDescent="0.2">
      <c r="A150" s="19" t="s">
        <v>133</v>
      </c>
      <c r="B150" s="21">
        <f>2373.93</f>
        <v>2373.9299999999998</v>
      </c>
    </row>
    <row r="151" spans="1:2" ht="15.75" customHeight="1" x14ac:dyDescent="0.2">
      <c r="A151" s="19" t="s">
        <v>134</v>
      </c>
      <c r="B151" s="21">
        <f>1865.43</f>
        <v>1865.43</v>
      </c>
    </row>
    <row r="152" spans="1:2" ht="15.75" customHeight="1" x14ac:dyDescent="0.2">
      <c r="A152" s="19" t="s">
        <v>135</v>
      </c>
      <c r="B152" s="21">
        <f>41250</f>
        <v>41250</v>
      </c>
    </row>
    <row r="153" spans="1:2" ht="15.75" customHeight="1" x14ac:dyDescent="0.2">
      <c r="A153" s="19" t="s">
        <v>136</v>
      </c>
      <c r="B153" s="21">
        <f>1882.16</f>
        <v>1882.16</v>
      </c>
    </row>
    <row r="154" spans="1:2" ht="15.75" customHeight="1" x14ac:dyDescent="0.2">
      <c r="A154" s="19" t="s">
        <v>138</v>
      </c>
      <c r="B154" s="21">
        <f>1867.03</f>
        <v>1867.03</v>
      </c>
    </row>
    <row r="155" spans="1:2" ht="15.75" customHeight="1" x14ac:dyDescent="0.2">
      <c r="A155" s="19" t="s">
        <v>140</v>
      </c>
      <c r="B155" s="22">
        <f>(((((B149)+(B150))+(B151))+(B152))+(B153))+(B154)</f>
        <v>311353.65999999997</v>
      </c>
    </row>
    <row r="156" spans="1:2" ht="15.75" customHeight="1" x14ac:dyDescent="0.2">
      <c r="A156" s="19" t="s">
        <v>247</v>
      </c>
      <c r="B156" s="21">
        <f>4551.35</f>
        <v>4551.3500000000004</v>
      </c>
    </row>
    <row r="157" spans="1:2" ht="15.75" customHeight="1" x14ac:dyDescent="0.2">
      <c r="A157" s="19" t="s">
        <v>141</v>
      </c>
      <c r="B157" s="20"/>
    </row>
    <row r="158" spans="1:2" ht="15.75" customHeight="1" x14ac:dyDescent="0.2">
      <c r="A158" s="19" t="s">
        <v>142</v>
      </c>
      <c r="B158" s="21">
        <f>829.46</f>
        <v>829.46</v>
      </c>
    </row>
    <row r="159" spans="1:2" ht="15.75" customHeight="1" x14ac:dyDescent="0.2">
      <c r="A159" s="19" t="s">
        <v>143</v>
      </c>
      <c r="B159" s="22">
        <f>(B157)+(B158)</f>
        <v>829.46</v>
      </c>
    </row>
    <row r="160" spans="1:2" ht="15.75" customHeight="1" x14ac:dyDescent="0.2">
      <c r="A160" s="19" t="s">
        <v>144</v>
      </c>
      <c r="B160" s="22">
        <f>((((B134)+(B148))+(B155))+(B156))+(B159)</f>
        <v>667869.92000000004</v>
      </c>
    </row>
    <row r="161" spans="1:2" ht="15.75" customHeight="1" x14ac:dyDescent="0.2">
      <c r="A161" s="19" t="s">
        <v>145</v>
      </c>
      <c r="B161" s="20"/>
    </row>
    <row r="162" spans="1:2" ht="15.75" customHeight="1" x14ac:dyDescent="0.2">
      <c r="A162" s="19" t="s">
        <v>146</v>
      </c>
      <c r="B162" s="21">
        <f>90</f>
        <v>90</v>
      </c>
    </row>
    <row r="163" spans="1:2" ht="15.75" customHeight="1" x14ac:dyDescent="0.2">
      <c r="A163" s="19" t="s">
        <v>147</v>
      </c>
      <c r="B163" s="21">
        <f>2635</f>
        <v>2635</v>
      </c>
    </row>
    <row r="164" spans="1:2" ht="15.75" customHeight="1" x14ac:dyDescent="0.2">
      <c r="A164" s="19" t="s">
        <v>148</v>
      </c>
      <c r="B164" s="22">
        <f>((B161)+(B162))+(B163)</f>
        <v>2725</v>
      </c>
    </row>
    <row r="165" spans="1:2" ht="15.75" customHeight="1" x14ac:dyDescent="0.2">
      <c r="A165" s="19" t="s">
        <v>149</v>
      </c>
      <c r="B165" s="20"/>
    </row>
    <row r="166" spans="1:2" ht="15.75" customHeight="1" x14ac:dyDescent="0.2">
      <c r="A166" s="19" t="s">
        <v>150</v>
      </c>
      <c r="B166" s="21">
        <f>22629</f>
        <v>22629</v>
      </c>
    </row>
    <row r="167" spans="1:2" ht="15.75" customHeight="1" x14ac:dyDescent="0.2">
      <c r="A167" s="19" t="s">
        <v>151</v>
      </c>
      <c r="B167" s="21">
        <f>9711.23</f>
        <v>9711.23</v>
      </c>
    </row>
    <row r="168" spans="1:2" ht="15.75" customHeight="1" x14ac:dyDescent="0.2">
      <c r="A168" s="19" t="s">
        <v>283</v>
      </c>
      <c r="B168" s="21">
        <f>198</f>
        <v>198</v>
      </c>
    </row>
    <row r="169" spans="1:2" ht="15.75" customHeight="1" x14ac:dyDescent="0.2">
      <c r="A169" s="19" t="s">
        <v>152</v>
      </c>
      <c r="B169" s="21">
        <f>32677.13</f>
        <v>32677.13</v>
      </c>
    </row>
    <row r="170" spans="1:2" ht="15.75" customHeight="1" x14ac:dyDescent="0.2">
      <c r="A170" s="19" t="s">
        <v>153</v>
      </c>
      <c r="B170" s="22">
        <f>((((B165)+(B166))+(B167))+(B168))+(B169)</f>
        <v>65215.360000000001</v>
      </c>
    </row>
    <row r="171" spans="1:2" ht="15.75" customHeight="1" x14ac:dyDescent="0.2">
      <c r="A171" s="19" t="s">
        <v>154</v>
      </c>
      <c r="B171" s="20"/>
    </row>
    <row r="172" spans="1:2" ht="15.75" customHeight="1" x14ac:dyDescent="0.2">
      <c r="A172" s="19" t="s">
        <v>155</v>
      </c>
      <c r="B172" s="21">
        <f>13500</f>
        <v>13500</v>
      </c>
    </row>
    <row r="173" spans="1:2" ht="15.75" customHeight="1" x14ac:dyDescent="0.2">
      <c r="A173" s="19" t="s">
        <v>156</v>
      </c>
      <c r="B173" s="21">
        <f>204.13</f>
        <v>204.13</v>
      </c>
    </row>
    <row r="174" spans="1:2" ht="15.75" customHeight="1" x14ac:dyDescent="0.2">
      <c r="A174" s="19" t="s">
        <v>157</v>
      </c>
      <c r="B174" s="22">
        <f>((B171)+(B172))+(B173)</f>
        <v>13704.13</v>
      </c>
    </row>
    <row r="175" spans="1:2" ht="15.75" customHeight="1" x14ac:dyDescent="0.2">
      <c r="A175" s="19" t="s">
        <v>158</v>
      </c>
      <c r="B175" s="20"/>
    </row>
    <row r="176" spans="1:2" ht="15.75" customHeight="1" x14ac:dyDescent="0.2">
      <c r="A176" s="19" t="s">
        <v>161</v>
      </c>
      <c r="B176" s="21">
        <f>304877.75</f>
        <v>304877.75</v>
      </c>
    </row>
    <row r="177" spans="1:2" ht="15.75" customHeight="1" x14ac:dyDescent="0.2">
      <c r="A177" s="19" t="s">
        <v>162</v>
      </c>
      <c r="B177" s="22">
        <f>(B175)+(B176)</f>
        <v>304877.75</v>
      </c>
    </row>
    <row r="178" spans="1:2" ht="15.75" customHeight="1" x14ac:dyDescent="0.2">
      <c r="A178" s="19" t="s">
        <v>163</v>
      </c>
      <c r="B178" s="20"/>
    </row>
    <row r="179" spans="1:2" ht="15.75" customHeight="1" x14ac:dyDescent="0.2">
      <c r="A179" s="19" t="s">
        <v>164</v>
      </c>
      <c r="B179" s="20"/>
    </row>
    <row r="180" spans="1:2" ht="15.75" customHeight="1" x14ac:dyDescent="0.2">
      <c r="A180" s="19" t="s">
        <v>272</v>
      </c>
      <c r="B180" s="21">
        <f>28974.58</f>
        <v>28974.58</v>
      </c>
    </row>
    <row r="181" spans="1:2" ht="15.75" customHeight="1" x14ac:dyDescent="0.2">
      <c r="A181" s="19" t="s">
        <v>284</v>
      </c>
      <c r="B181" s="21">
        <f>72910.22</f>
        <v>72910.22</v>
      </c>
    </row>
    <row r="182" spans="1:2" ht="15.75" customHeight="1" x14ac:dyDescent="0.2">
      <c r="A182" s="19" t="s">
        <v>285</v>
      </c>
      <c r="B182" s="21">
        <f>34519.3</f>
        <v>34519.300000000003</v>
      </c>
    </row>
    <row r="183" spans="1:2" ht="15.75" customHeight="1" x14ac:dyDescent="0.2">
      <c r="A183" s="19" t="s">
        <v>273</v>
      </c>
      <c r="B183" s="21">
        <f>23179.66</f>
        <v>23179.66</v>
      </c>
    </row>
    <row r="184" spans="1:2" ht="15.75" customHeight="1" x14ac:dyDescent="0.2">
      <c r="A184" s="19" t="s">
        <v>274</v>
      </c>
      <c r="B184" s="21">
        <f>37087.47</f>
        <v>37087.47</v>
      </c>
    </row>
    <row r="185" spans="1:2" ht="15.75" customHeight="1" x14ac:dyDescent="0.2">
      <c r="A185" s="19" t="s">
        <v>286</v>
      </c>
      <c r="B185" s="21">
        <f>15618.84</f>
        <v>15618.84</v>
      </c>
    </row>
    <row r="186" spans="1:2" ht="15.75" customHeight="1" x14ac:dyDescent="0.2">
      <c r="A186" s="19" t="s">
        <v>165</v>
      </c>
      <c r="B186" s="21">
        <f>20253.81</f>
        <v>20253.810000000001</v>
      </c>
    </row>
    <row r="187" spans="1:2" ht="15.75" customHeight="1" x14ac:dyDescent="0.2">
      <c r="A187" s="19" t="s">
        <v>262</v>
      </c>
      <c r="B187" s="21">
        <f>47793.79</f>
        <v>47793.79</v>
      </c>
    </row>
    <row r="188" spans="1:2" ht="15.75" customHeight="1" x14ac:dyDescent="0.2">
      <c r="A188" s="19" t="s">
        <v>166</v>
      </c>
      <c r="B188" s="22">
        <f>((((((((B179)+(B180))+(B181))+(B182))+(B183))+(B184))+(B185))+(B186))+(B187)</f>
        <v>280337.67</v>
      </c>
    </row>
    <row r="189" spans="1:2" ht="15.75" customHeight="1" x14ac:dyDescent="0.2">
      <c r="A189" s="19" t="s">
        <v>167</v>
      </c>
      <c r="B189" s="20"/>
    </row>
    <row r="190" spans="1:2" ht="15.75" customHeight="1" x14ac:dyDescent="0.2">
      <c r="A190" s="19" t="s">
        <v>168</v>
      </c>
      <c r="B190" s="21">
        <f>8997.81</f>
        <v>8997.81</v>
      </c>
    </row>
    <row r="191" spans="1:2" ht="15.75" customHeight="1" x14ac:dyDescent="0.2">
      <c r="A191" s="19" t="s">
        <v>275</v>
      </c>
      <c r="B191" s="21">
        <f>4648.97</f>
        <v>4648.97</v>
      </c>
    </row>
    <row r="192" spans="1:2" ht="15.75" customHeight="1" x14ac:dyDescent="0.2">
      <c r="A192" s="19" t="s">
        <v>169</v>
      </c>
      <c r="B192" s="21">
        <f>7859.02</f>
        <v>7859.02</v>
      </c>
    </row>
    <row r="193" spans="1:2" ht="15.75" customHeight="1" x14ac:dyDescent="0.2">
      <c r="A193" s="19" t="s">
        <v>170</v>
      </c>
      <c r="B193" s="21">
        <f>3875.98</f>
        <v>3875.98</v>
      </c>
    </row>
    <row r="194" spans="1:2" ht="15.75" customHeight="1" x14ac:dyDescent="0.2">
      <c r="A194" s="19" t="s">
        <v>277</v>
      </c>
      <c r="B194" s="21">
        <f>3719.18</f>
        <v>3719.18</v>
      </c>
    </row>
    <row r="195" spans="1:2" ht="15.75" customHeight="1" x14ac:dyDescent="0.2">
      <c r="A195" s="19" t="s">
        <v>278</v>
      </c>
      <c r="B195" s="21">
        <f>5950.68</f>
        <v>5950.68</v>
      </c>
    </row>
    <row r="196" spans="1:2" ht="15.75" customHeight="1" x14ac:dyDescent="0.2">
      <c r="A196" s="19" t="s">
        <v>171</v>
      </c>
      <c r="B196" s="21">
        <f>1753.76</f>
        <v>1753.76</v>
      </c>
    </row>
    <row r="197" spans="1:2" ht="15.75" customHeight="1" x14ac:dyDescent="0.2">
      <c r="A197" s="19" t="s">
        <v>172</v>
      </c>
      <c r="B197" s="22">
        <f>(((((((B189)+(B190))+(B191))+(B192))+(B193))+(B194))+(B195))+(B196)</f>
        <v>36805.4</v>
      </c>
    </row>
    <row r="198" spans="1:2" ht="15.75" customHeight="1" x14ac:dyDescent="0.2">
      <c r="A198" s="19" t="s">
        <v>173</v>
      </c>
      <c r="B198" s="22">
        <f>((B178)+(B188))+(B197)</f>
        <v>317143.07</v>
      </c>
    </row>
    <row r="199" spans="1:2" ht="15.75" customHeight="1" x14ac:dyDescent="0.2">
      <c r="A199" s="19" t="s">
        <v>256</v>
      </c>
      <c r="B199" s="21">
        <f>-4854.86</f>
        <v>-4854.8599999999997</v>
      </c>
    </row>
    <row r="200" spans="1:2" ht="15.75" customHeight="1" x14ac:dyDescent="0.2">
      <c r="A200" s="19" t="s">
        <v>433</v>
      </c>
      <c r="B200" s="21">
        <f>58.69</f>
        <v>58.69</v>
      </c>
    </row>
    <row r="201" spans="1:2" ht="15.75" customHeight="1" x14ac:dyDescent="0.2">
      <c r="A201" s="19" t="s">
        <v>174</v>
      </c>
      <c r="B201" s="22">
        <f>(((((((((B106)+(B133))+(B160))+(B164))+(B170))+(B174))+(B177))+(B198))+(B199))+(B200)</f>
        <v>1729930.95</v>
      </c>
    </row>
    <row r="202" spans="1:2" ht="15.75" customHeight="1" x14ac:dyDescent="0.2">
      <c r="A202" s="19" t="s">
        <v>175</v>
      </c>
      <c r="B202" s="22">
        <f>(B55)-(B201)</f>
        <v>406677.5699999996</v>
      </c>
    </row>
    <row r="203" spans="1:2" ht="15.75" customHeight="1" x14ac:dyDescent="0.2">
      <c r="A203" s="19" t="s">
        <v>316</v>
      </c>
      <c r="B203" s="20"/>
    </row>
    <row r="204" spans="1:2" ht="15" hidden="1" customHeight="1" x14ac:dyDescent="0.2">
      <c r="A204" s="19" t="s">
        <v>317</v>
      </c>
      <c r="B204" s="21">
        <f>57.98</f>
        <v>57.98</v>
      </c>
    </row>
    <row r="205" spans="1:2" ht="15" hidden="1" customHeight="1" x14ac:dyDescent="0.2">
      <c r="A205" s="19" t="s">
        <v>318</v>
      </c>
      <c r="B205" s="22">
        <f>B204</f>
        <v>57.98</v>
      </c>
    </row>
    <row r="206" spans="1:2" ht="15.75" customHeight="1" x14ac:dyDescent="0.2">
      <c r="A206" s="19" t="s">
        <v>319</v>
      </c>
      <c r="B206" s="22">
        <f>(0)-(B205)</f>
        <v>-57.98</v>
      </c>
    </row>
    <row r="207" spans="1:2" ht="15.75" customHeight="1" x14ac:dyDescent="0.2">
      <c r="A207" s="19" t="s">
        <v>176</v>
      </c>
      <c r="B207" s="22">
        <f>(B202)+(B206)</f>
        <v>406619.58999999962</v>
      </c>
    </row>
    <row r="208" spans="1:2" ht="15.75" customHeight="1" x14ac:dyDescent="0.2">
      <c r="A208" s="19"/>
      <c r="B208" s="20"/>
    </row>
    <row r="209" spans="1:2" ht="15.75" customHeight="1" x14ac:dyDescent="0.2">
      <c r="A209" s="45"/>
      <c r="B209" s="45"/>
    </row>
    <row r="210" spans="1:2" ht="15.75" customHeight="1" x14ac:dyDescent="0.2">
      <c r="A210" s="45"/>
      <c r="B210" s="45"/>
    </row>
    <row r="211" spans="1:2" ht="15.75" customHeight="1" x14ac:dyDescent="0.2">
      <c r="A211" s="48" t="s">
        <v>434</v>
      </c>
      <c r="B211" s="49"/>
    </row>
    <row r="212" spans="1:2" ht="15.75" customHeight="1" x14ac:dyDescent="0.2">
      <c r="A212" s="45"/>
      <c r="B212" s="45"/>
    </row>
    <row r="213" spans="1:2" ht="15.75" customHeight="1" x14ac:dyDescent="0.2">
      <c r="A213" s="45"/>
      <c r="B213" s="45"/>
    </row>
    <row r="214" spans="1:2" ht="15.75" customHeight="1" x14ac:dyDescent="0.2">
      <c r="A214" s="45"/>
      <c r="B214" s="45"/>
    </row>
    <row r="215" spans="1:2" ht="15.75" customHeight="1" x14ac:dyDescent="0.2">
      <c r="A215" s="45"/>
      <c r="B215" s="45"/>
    </row>
    <row r="216" spans="1:2" ht="15.75" customHeight="1" x14ac:dyDescent="0.2"/>
    <row r="217" spans="1:2" ht="15.75" customHeight="1" x14ac:dyDescent="0.2"/>
    <row r="218" spans="1:2" ht="15.75" customHeight="1" x14ac:dyDescent="0.2"/>
    <row r="219" spans="1:2" ht="15.75" customHeight="1" x14ac:dyDescent="0.2"/>
    <row r="220" spans="1:2" ht="15.75" customHeight="1" x14ac:dyDescent="0.2"/>
    <row r="221" spans="1:2" ht="15.75" customHeight="1" x14ac:dyDescent="0.2"/>
    <row r="222" spans="1:2" ht="15.75" customHeight="1" x14ac:dyDescent="0.2"/>
    <row r="223" spans="1:2" ht="15.75" customHeight="1" x14ac:dyDescent="0.2"/>
    <row r="224" spans="1:2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211:B211"/>
    <mergeCell ref="A1:B1"/>
    <mergeCell ref="A2:B2"/>
    <mergeCell ref="A3:B3"/>
  </mergeCells>
  <printOptions verticalCentered="1" gridLines="1"/>
  <pageMargins left="0.45" right="0.45" top="0.5" bottom="0.5" header="0" footer="0"/>
  <pageSetup scale="7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A4" sqref="A4"/>
    </sheetView>
  </sheetViews>
  <sheetFormatPr defaultColWidth="12.625" defaultRowHeight="15" customHeight="1" x14ac:dyDescent="0.2"/>
  <cols>
    <col min="1" max="1" width="15.625" customWidth="1"/>
    <col min="2" max="2" width="9.625" customWidth="1"/>
    <col min="3" max="3" width="16.625" customWidth="1"/>
    <col min="4" max="7" width="7.625" customWidth="1"/>
    <col min="8" max="8" width="9.125" customWidth="1"/>
    <col min="9" max="26" width="7.625" customWidth="1"/>
  </cols>
  <sheetData>
    <row r="1" spans="1:26" ht="18" x14ac:dyDescent="0.25">
      <c r="A1" s="62" t="s">
        <v>0</v>
      </c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25">
      <c r="A2" s="62" t="s">
        <v>219</v>
      </c>
      <c r="B2" s="55"/>
      <c r="C2" s="55"/>
      <c r="D2" s="55"/>
      <c r="E2" s="55"/>
      <c r="F2" s="55"/>
      <c r="G2" s="55"/>
      <c r="H2" s="55"/>
      <c r="I2" s="55"/>
    </row>
    <row r="3" spans="1:26" ht="14.25" x14ac:dyDescent="0.2">
      <c r="A3" s="63">
        <v>44856</v>
      </c>
      <c r="B3" s="55"/>
      <c r="C3" s="55"/>
      <c r="D3" s="55"/>
      <c r="E3" s="55"/>
      <c r="F3" s="55"/>
      <c r="G3" s="55"/>
      <c r="H3" s="55"/>
      <c r="I3" s="55"/>
    </row>
    <row r="4" spans="1:26" ht="15" customHeight="1" x14ac:dyDescent="0.25">
      <c r="A4" s="1" t="s">
        <v>220</v>
      </c>
      <c r="B4" s="7"/>
      <c r="C4" s="5"/>
      <c r="D4" s="5"/>
      <c r="E4" s="5"/>
      <c r="F4" s="5"/>
      <c r="G4" s="5"/>
      <c r="H4" s="3"/>
    </row>
    <row r="5" spans="1:26" ht="15" customHeight="1" x14ac:dyDescent="0.25">
      <c r="A5" s="1"/>
      <c r="B5" s="7"/>
      <c r="C5" s="5"/>
      <c r="D5" s="5"/>
      <c r="E5" s="5"/>
      <c r="F5" s="5"/>
      <c r="G5" s="5"/>
      <c r="H5" s="3"/>
    </row>
    <row r="6" spans="1:26" ht="15" customHeight="1" x14ac:dyDescent="0.25">
      <c r="A6" s="1"/>
      <c r="B6" s="7"/>
      <c r="C6" s="5"/>
      <c r="D6" s="5"/>
      <c r="E6" s="5"/>
      <c r="F6" s="5"/>
      <c r="G6" s="5"/>
      <c r="H6" s="3"/>
    </row>
    <row r="7" spans="1:26" ht="15" customHeight="1" x14ac:dyDescent="0.25">
      <c r="A7" s="1"/>
      <c r="B7" s="7"/>
      <c r="C7" s="5"/>
      <c r="D7" s="5"/>
      <c r="E7" s="5"/>
      <c r="F7" s="5"/>
      <c r="G7" s="5"/>
      <c r="H7" s="3"/>
    </row>
    <row r="8" spans="1:26" ht="15" customHeight="1" x14ac:dyDescent="0.25">
      <c r="A8" s="1"/>
      <c r="B8" s="5"/>
      <c r="C8" s="5"/>
      <c r="D8" s="5"/>
      <c r="E8" s="5"/>
      <c r="F8" s="5"/>
      <c r="G8" s="5"/>
      <c r="H8" s="3"/>
    </row>
    <row r="9" spans="1:26" ht="15" customHeight="1" x14ac:dyDescent="0.25">
      <c r="A9" s="1"/>
      <c r="B9" s="5"/>
      <c r="C9" s="5"/>
      <c r="D9" s="5"/>
      <c r="E9" s="5"/>
      <c r="F9" s="5"/>
      <c r="G9" s="5"/>
      <c r="H9" s="3"/>
    </row>
    <row r="10" spans="1:26" ht="15" customHeight="1" x14ac:dyDescent="0.25">
      <c r="A10" s="1"/>
      <c r="B10" s="7"/>
      <c r="C10" s="5"/>
      <c r="D10" s="5"/>
      <c r="E10" s="5"/>
      <c r="F10" s="5"/>
      <c r="G10" s="5"/>
      <c r="H10" s="3"/>
    </row>
    <row r="11" spans="1:26" ht="15" customHeight="1" x14ac:dyDescent="0.25">
      <c r="A11" s="1"/>
      <c r="B11" s="7"/>
      <c r="C11" s="5"/>
      <c r="D11" s="5"/>
      <c r="E11" s="5"/>
      <c r="F11" s="5"/>
      <c r="G11" s="5"/>
      <c r="H11" s="3"/>
    </row>
    <row r="12" spans="1:26" ht="15" customHeight="1" x14ac:dyDescent="0.25">
      <c r="A12" s="1"/>
      <c r="B12" s="7"/>
      <c r="C12" s="5"/>
      <c r="D12" s="5"/>
      <c r="E12" s="5"/>
      <c r="F12" s="5"/>
      <c r="G12" s="5"/>
      <c r="H12" s="3"/>
    </row>
    <row r="13" spans="1:26" ht="15" customHeight="1" x14ac:dyDescent="0.25">
      <c r="A13" s="1"/>
      <c r="B13" s="7"/>
      <c r="C13" s="5"/>
      <c r="D13" s="5"/>
      <c r="E13" s="5"/>
      <c r="F13" s="5"/>
      <c r="G13" s="5"/>
      <c r="H13" s="3"/>
    </row>
    <row r="14" spans="1:26" ht="15" customHeight="1" x14ac:dyDescent="0.25">
      <c r="A14" s="1"/>
      <c r="B14" s="7"/>
      <c r="C14" s="5"/>
      <c r="D14" s="5"/>
      <c r="E14" s="5"/>
      <c r="F14" s="5"/>
      <c r="G14" s="5"/>
      <c r="H14" s="3"/>
    </row>
    <row r="15" spans="1:26" ht="15" customHeight="1" x14ac:dyDescent="0.25">
      <c r="A15" s="1"/>
      <c r="B15" s="5"/>
      <c r="C15" s="5"/>
      <c r="D15" s="5"/>
      <c r="E15" s="5"/>
      <c r="F15" s="5"/>
      <c r="G15" s="5"/>
      <c r="H15" s="3"/>
    </row>
    <row r="16" spans="1:26" ht="15" customHeight="1" x14ac:dyDescent="0.25">
      <c r="A16" s="1"/>
      <c r="B16" s="5"/>
      <c r="C16" s="5"/>
      <c r="D16" s="5"/>
      <c r="E16" s="5"/>
      <c r="F16" s="5"/>
      <c r="G16" s="5"/>
      <c r="H16" s="3"/>
    </row>
    <row r="17" spans="1:8" ht="15" customHeight="1" x14ac:dyDescent="0.25">
      <c r="A17" s="1"/>
      <c r="B17" s="7"/>
      <c r="C17" s="5"/>
      <c r="D17" s="5"/>
      <c r="E17" s="5"/>
      <c r="F17" s="5"/>
      <c r="G17" s="5"/>
      <c r="H17" s="3"/>
    </row>
    <row r="18" spans="1:8" ht="15" customHeight="1" x14ac:dyDescent="0.25">
      <c r="A18" s="1"/>
      <c r="B18" s="7"/>
      <c r="C18" s="5"/>
      <c r="D18" s="5"/>
      <c r="E18" s="5"/>
      <c r="F18" s="5"/>
      <c r="G18" s="5"/>
      <c r="H18" s="3"/>
    </row>
    <row r="19" spans="1:8" ht="15" customHeight="1" x14ac:dyDescent="0.25">
      <c r="A19" s="1"/>
      <c r="B19" s="5"/>
      <c r="C19" s="5"/>
      <c r="D19" s="5"/>
      <c r="E19" s="5"/>
      <c r="F19" s="5"/>
      <c r="G19" s="5"/>
      <c r="H19" s="3"/>
    </row>
    <row r="20" spans="1:8" ht="15" customHeight="1" x14ac:dyDescent="0.25">
      <c r="A20" s="1"/>
      <c r="B20" s="5"/>
      <c r="C20" s="5"/>
      <c r="D20" s="5"/>
      <c r="E20" s="5"/>
      <c r="F20" s="5"/>
      <c r="G20" s="5"/>
      <c r="H20" s="3"/>
    </row>
    <row r="21" spans="1:8" ht="15" customHeight="1" x14ac:dyDescent="0.25">
      <c r="A21" s="1"/>
      <c r="B21" s="7"/>
      <c r="C21" s="5"/>
      <c r="D21" s="5"/>
      <c r="E21" s="5"/>
      <c r="F21" s="5"/>
      <c r="G21" s="5"/>
      <c r="H21" s="3"/>
    </row>
    <row r="22" spans="1:8" ht="15" customHeight="1" x14ac:dyDescent="0.25">
      <c r="A22" s="1"/>
      <c r="B22" s="7"/>
      <c r="C22" s="5"/>
      <c r="D22" s="5"/>
      <c r="E22" s="5"/>
      <c r="F22" s="5"/>
      <c r="G22" s="5"/>
      <c r="H22" s="3"/>
    </row>
    <row r="23" spans="1:8" ht="15" customHeight="1" x14ac:dyDescent="0.25">
      <c r="A23" s="1"/>
      <c r="B23" s="5"/>
      <c r="C23" s="5"/>
      <c r="D23" s="5"/>
      <c r="E23" s="5"/>
      <c r="F23" s="5"/>
      <c r="G23" s="5"/>
      <c r="H23" s="3"/>
    </row>
    <row r="24" spans="1:8" ht="15" customHeight="1" x14ac:dyDescent="0.25">
      <c r="A24" s="1"/>
      <c r="B24" s="5"/>
      <c r="C24" s="5"/>
      <c r="D24" s="5"/>
      <c r="E24" s="5"/>
      <c r="F24" s="5"/>
      <c r="G24" s="5"/>
      <c r="H24" s="3"/>
    </row>
    <row r="25" spans="1:8" ht="15" customHeight="1" x14ac:dyDescent="0.25">
      <c r="A25" s="1"/>
      <c r="B25" s="5"/>
      <c r="C25" s="5"/>
      <c r="D25" s="5"/>
      <c r="E25" s="5"/>
      <c r="F25" s="5"/>
      <c r="G25" s="5"/>
      <c r="H25" s="3"/>
    </row>
    <row r="26" spans="1:8" ht="15" customHeight="1" x14ac:dyDescent="0.25">
      <c r="A26" s="1"/>
      <c r="B26" s="5"/>
      <c r="C26" s="5"/>
      <c r="D26" s="5"/>
      <c r="E26" s="5"/>
      <c r="F26" s="5"/>
      <c r="G26" s="5"/>
      <c r="H26" s="3"/>
    </row>
    <row r="27" spans="1:8" ht="15" customHeight="1" x14ac:dyDescent="0.25">
      <c r="A27" s="1"/>
      <c r="B27" s="7"/>
      <c r="C27" s="5"/>
      <c r="D27" s="5"/>
      <c r="E27" s="5"/>
      <c r="F27" s="5"/>
      <c r="G27" s="5"/>
      <c r="H27" s="3"/>
    </row>
    <row r="28" spans="1:8" ht="15" customHeight="1" x14ac:dyDescent="0.25">
      <c r="A28" s="2"/>
      <c r="B28" s="1"/>
      <c r="C28" s="1"/>
      <c r="D28" s="1"/>
      <c r="E28" s="1"/>
      <c r="F28" s="1"/>
      <c r="G28" s="1"/>
      <c r="H28" s="4"/>
    </row>
    <row r="29" spans="1:8" ht="15" customHeight="1" x14ac:dyDescent="0.25">
      <c r="A29" s="2"/>
      <c r="B29" s="1"/>
      <c r="C29" s="1"/>
      <c r="D29" s="1"/>
      <c r="E29" s="1"/>
      <c r="F29" s="1"/>
      <c r="G29" s="1"/>
      <c r="H29" s="8"/>
    </row>
    <row r="30" spans="1:8" ht="15" customHeight="1" x14ac:dyDescent="0.25">
      <c r="A30" s="1"/>
      <c r="B30" s="5"/>
      <c r="C30" s="5"/>
      <c r="D30" s="5"/>
      <c r="E30" s="5"/>
      <c r="F30" s="5"/>
      <c r="G30" s="5"/>
      <c r="H30" s="3"/>
    </row>
    <row r="31" spans="1:8" ht="15" customHeight="1" x14ac:dyDescent="0.25">
      <c r="A31" s="1"/>
      <c r="B31" s="5"/>
      <c r="C31" s="5"/>
      <c r="D31" s="5"/>
      <c r="E31" s="5"/>
      <c r="F31" s="5"/>
      <c r="G31" s="5"/>
      <c r="H31" s="3"/>
    </row>
    <row r="32" spans="1:8" ht="15" customHeight="1" x14ac:dyDescent="0.25">
      <c r="A32" s="1"/>
      <c r="B32" s="7"/>
      <c r="C32" s="5"/>
      <c r="D32" s="5"/>
      <c r="E32" s="5"/>
      <c r="F32" s="5"/>
      <c r="G32" s="5"/>
      <c r="H32" s="3"/>
    </row>
    <row r="33" spans="1:8" ht="15" customHeight="1" x14ac:dyDescent="0.25">
      <c r="A33" s="1"/>
      <c r="B33" s="5"/>
      <c r="C33" s="5"/>
      <c r="D33" s="5"/>
      <c r="E33" s="5"/>
      <c r="F33" s="5"/>
      <c r="G33" s="5"/>
      <c r="H33" s="3"/>
    </row>
    <row r="34" spans="1:8" ht="15" customHeight="1" x14ac:dyDescent="0.25">
      <c r="A34" s="1"/>
      <c r="B34" s="5"/>
      <c r="C34" s="5"/>
      <c r="D34" s="5"/>
      <c r="E34" s="5"/>
      <c r="F34" s="5"/>
      <c r="G34" s="5"/>
      <c r="H34" s="3"/>
    </row>
    <row r="35" spans="1:8" ht="15" customHeight="1" x14ac:dyDescent="0.25">
      <c r="A35" s="1"/>
      <c r="B35" s="7"/>
      <c r="C35" s="5"/>
      <c r="D35" s="5"/>
      <c r="E35" s="5"/>
      <c r="F35" s="5"/>
      <c r="G35" s="5"/>
      <c r="H35" s="3"/>
    </row>
    <row r="36" spans="1:8" ht="15" customHeight="1" x14ac:dyDescent="0.25">
      <c r="A36" s="1"/>
      <c r="B36" s="7"/>
      <c r="C36" s="5"/>
      <c r="D36" s="5"/>
      <c r="E36" s="5"/>
      <c r="F36" s="5"/>
      <c r="G36" s="5"/>
      <c r="H36" s="3"/>
    </row>
    <row r="37" spans="1:8" ht="15" customHeight="1" x14ac:dyDescent="0.25">
      <c r="A37" s="1"/>
      <c r="B37" s="7"/>
      <c r="C37" s="5"/>
      <c r="D37" s="5"/>
      <c r="E37" s="5"/>
      <c r="F37" s="5"/>
      <c r="G37" s="5"/>
      <c r="H37" s="3"/>
    </row>
    <row r="38" spans="1:8" ht="15" customHeight="1" x14ac:dyDescent="0.25">
      <c r="A38" s="1"/>
      <c r="B38" s="5"/>
      <c r="C38" s="5"/>
      <c r="D38" s="5"/>
      <c r="E38" s="5"/>
      <c r="F38" s="5"/>
      <c r="G38" s="5"/>
      <c r="H38" s="3"/>
    </row>
    <row r="39" spans="1:8" ht="15" customHeight="1" x14ac:dyDescent="0.25">
      <c r="A39" s="1"/>
      <c r="B39" s="5"/>
      <c r="C39" s="5"/>
      <c r="D39" s="5"/>
      <c r="E39" s="5"/>
      <c r="F39" s="5"/>
      <c r="G39" s="5"/>
      <c r="H39" s="3"/>
    </row>
    <row r="40" spans="1:8" ht="15" customHeight="1" x14ac:dyDescent="0.25">
      <c r="A40" s="2"/>
      <c r="B40" s="6"/>
      <c r="C40" s="1"/>
      <c r="D40" s="1"/>
      <c r="E40" s="1"/>
      <c r="F40" s="1"/>
      <c r="G40" s="1"/>
      <c r="H40" s="4"/>
    </row>
    <row r="41" spans="1:8" ht="15" customHeight="1" x14ac:dyDescent="0.25">
      <c r="A41" s="2"/>
      <c r="B41" s="1"/>
      <c r="C41" s="1"/>
      <c r="D41" s="1"/>
      <c r="E41" s="1"/>
      <c r="F41" s="1"/>
      <c r="G41" s="1"/>
      <c r="H41" s="8"/>
    </row>
    <row r="42" spans="1:8" ht="15" customHeight="1" x14ac:dyDescent="0.25">
      <c r="A42" s="1"/>
      <c r="B42" s="5"/>
      <c r="C42" s="5"/>
      <c r="D42" s="5"/>
      <c r="E42" s="5"/>
      <c r="F42" s="5"/>
      <c r="G42" s="5"/>
      <c r="H42" s="3"/>
    </row>
    <row r="43" spans="1:8" ht="15" customHeight="1" x14ac:dyDescent="0.25">
      <c r="A43" s="1"/>
      <c r="B43" s="7"/>
      <c r="C43" s="5"/>
      <c r="D43" s="5"/>
      <c r="E43" s="5"/>
      <c r="F43" s="5"/>
      <c r="G43" s="5"/>
      <c r="H43" s="3"/>
    </row>
    <row r="44" spans="1:8" ht="15" customHeight="1" x14ac:dyDescent="0.25">
      <c r="A44" s="1"/>
      <c r="B44" s="5"/>
      <c r="C44" s="5"/>
      <c r="D44" s="5"/>
      <c r="E44" s="5"/>
      <c r="F44" s="5"/>
      <c r="G44" s="5"/>
      <c r="H44" s="3"/>
    </row>
    <row r="45" spans="1:8" ht="15" customHeight="1" x14ac:dyDescent="0.25">
      <c r="A45" s="1"/>
      <c r="B45" s="5"/>
      <c r="C45" s="5"/>
      <c r="D45" s="5"/>
      <c r="E45" s="5"/>
      <c r="F45" s="5"/>
      <c r="G45" s="5"/>
      <c r="H45" s="3"/>
    </row>
    <row r="46" spans="1:8" ht="15" customHeight="1" x14ac:dyDescent="0.25">
      <c r="A46" s="1"/>
      <c r="B46" s="7"/>
      <c r="C46" s="5"/>
      <c r="D46" s="5"/>
      <c r="E46" s="5"/>
      <c r="F46" s="5"/>
      <c r="G46" s="5"/>
      <c r="H46" s="3"/>
    </row>
    <row r="47" spans="1:8" ht="15" customHeight="1" x14ac:dyDescent="0.25">
      <c r="A47" s="1"/>
      <c r="B47" s="5"/>
      <c r="C47" s="5"/>
      <c r="D47" s="5"/>
      <c r="E47" s="5"/>
      <c r="F47" s="5"/>
      <c r="G47" s="5"/>
      <c r="H47" s="3"/>
    </row>
    <row r="48" spans="1:8" ht="15" customHeight="1" x14ac:dyDescent="0.25">
      <c r="A48" s="2"/>
      <c r="B48" s="1"/>
      <c r="C48" s="1"/>
      <c r="D48" s="1"/>
      <c r="E48" s="1"/>
      <c r="F48" s="1"/>
      <c r="G48" s="1"/>
      <c r="H48" s="4"/>
    </row>
    <row r="49" spans="1:8" ht="15" customHeight="1" x14ac:dyDescent="0.25">
      <c r="A49" s="2"/>
      <c r="B49" s="1"/>
      <c r="C49" s="1"/>
      <c r="D49" s="1"/>
      <c r="E49" s="1"/>
      <c r="F49" s="1"/>
      <c r="G49" s="1"/>
      <c r="H49" s="8"/>
    </row>
    <row r="50" spans="1:8" ht="15" customHeight="1" x14ac:dyDescent="0.25">
      <c r="A50" s="1"/>
      <c r="B50" s="5"/>
      <c r="C50" s="5"/>
      <c r="D50" s="5"/>
      <c r="E50" s="5"/>
      <c r="F50" s="5"/>
      <c r="G50" s="5"/>
      <c r="H50" s="3"/>
    </row>
    <row r="51" spans="1:8" ht="15" customHeight="1" x14ac:dyDescent="0.25">
      <c r="A51" s="1"/>
      <c r="B51" s="5"/>
      <c r="C51" s="5"/>
      <c r="D51" s="5"/>
      <c r="E51" s="5"/>
      <c r="F51" s="5"/>
      <c r="G51" s="5"/>
      <c r="H51" s="3"/>
    </row>
    <row r="52" spans="1:8" ht="15" customHeight="1" x14ac:dyDescent="0.25">
      <c r="A52" s="1"/>
      <c r="B52" s="5"/>
      <c r="C52" s="5"/>
      <c r="D52" s="5"/>
      <c r="E52" s="5"/>
      <c r="F52" s="5"/>
      <c r="G52" s="5"/>
      <c r="H52" s="3"/>
    </row>
    <row r="53" spans="1:8" ht="15" customHeight="1" x14ac:dyDescent="0.25">
      <c r="A53" s="2"/>
      <c r="B53" s="6"/>
      <c r="C53" s="1"/>
      <c r="D53" s="1"/>
      <c r="E53" s="1"/>
      <c r="F53" s="1"/>
      <c r="G53" s="1"/>
      <c r="H53" s="4"/>
    </row>
    <row r="54" spans="1:8" ht="15" customHeight="1" x14ac:dyDescent="0.25">
      <c r="A54" s="2"/>
      <c r="B54" s="6"/>
      <c r="C54" s="1"/>
      <c r="D54" s="1"/>
      <c r="E54" s="1"/>
      <c r="F54" s="1"/>
      <c r="G54" s="1"/>
      <c r="H54" s="9"/>
    </row>
    <row r="55" spans="1:8" ht="15" customHeight="1" x14ac:dyDescent="0.25">
      <c r="A55" s="1"/>
      <c r="B55" s="5"/>
      <c r="C55" s="5"/>
      <c r="D55" s="5"/>
      <c r="E55" s="5"/>
      <c r="F55" s="5"/>
      <c r="G55" s="5"/>
      <c r="H55" s="3"/>
    </row>
    <row r="56" spans="1:8" ht="15" customHeight="1" x14ac:dyDescent="0.25">
      <c r="A56" s="1"/>
      <c r="B56" s="5"/>
      <c r="C56" s="5"/>
      <c r="D56" s="5"/>
      <c r="E56" s="5"/>
      <c r="F56" s="5"/>
      <c r="G56" s="5"/>
      <c r="H56" s="3"/>
    </row>
    <row r="57" spans="1:8" ht="15" customHeight="1" x14ac:dyDescent="0.25">
      <c r="A57" s="1"/>
      <c r="B57" s="5"/>
      <c r="C57" s="5"/>
      <c r="D57" s="5"/>
      <c r="E57" s="5"/>
      <c r="F57" s="5"/>
      <c r="G57" s="5"/>
      <c r="H57" s="3"/>
    </row>
    <row r="58" spans="1:8" ht="15" customHeight="1" x14ac:dyDescent="0.25">
      <c r="A58" s="2"/>
      <c r="B58" s="1"/>
      <c r="C58" s="1"/>
      <c r="D58" s="1"/>
      <c r="E58" s="1"/>
      <c r="F58" s="1"/>
      <c r="G58" s="1"/>
      <c r="H58" s="4"/>
    </row>
    <row r="59" spans="1:8" ht="15" customHeight="1" x14ac:dyDescent="0.25">
      <c r="A59" s="2"/>
      <c r="B59" s="1"/>
      <c r="C59" s="1"/>
      <c r="D59" s="1"/>
      <c r="E59" s="1"/>
      <c r="F59" s="1"/>
      <c r="G59" s="1"/>
      <c r="H59" s="1"/>
    </row>
    <row r="60" spans="1:8" ht="15" customHeight="1" x14ac:dyDescent="0.25">
      <c r="A60" s="2"/>
      <c r="B60" s="1"/>
      <c r="C60" s="1"/>
      <c r="D60" s="1"/>
      <c r="E60" s="1"/>
      <c r="F60" s="1"/>
      <c r="G60" s="1"/>
      <c r="H60" s="1"/>
    </row>
    <row r="61" spans="1:8" ht="15" customHeight="1" x14ac:dyDescent="0.25">
      <c r="A61" s="2"/>
      <c r="B61" s="6"/>
      <c r="C61" s="1"/>
      <c r="D61" s="1"/>
      <c r="E61" s="1"/>
      <c r="F61" s="1"/>
      <c r="G61" s="1"/>
      <c r="H61" s="9"/>
    </row>
    <row r="62" spans="1:8" ht="15" customHeight="1" x14ac:dyDescent="0.25">
      <c r="A62" s="1"/>
      <c r="B62" s="7"/>
      <c r="C62" s="5"/>
      <c r="D62" s="5"/>
      <c r="E62" s="5"/>
      <c r="F62" s="5"/>
      <c r="G62" s="5"/>
      <c r="H62" s="3"/>
    </row>
    <row r="63" spans="1:8" ht="15" customHeight="1" x14ac:dyDescent="0.25">
      <c r="A63" s="1"/>
      <c r="B63" s="5"/>
      <c r="C63" s="5"/>
      <c r="D63" s="5"/>
      <c r="E63" s="5"/>
      <c r="F63" s="5"/>
      <c r="G63" s="5"/>
      <c r="H63" s="3"/>
    </row>
    <row r="64" spans="1:8" ht="15" customHeight="1" x14ac:dyDescent="0.25">
      <c r="A64" s="2"/>
      <c r="B64" s="1"/>
      <c r="C64" s="1"/>
      <c r="D64" s="1"/>
      <c r="E64" s="1"/>
      <c r="F64" s="1"/>
      <c r="G64" s="1"/>
      <c r="H64" s="4"/>
    </row>
    <row r="65" spans="1:8" ht="15" customHeight="1" x14ac:dyDescent="0.25">
      <c r="A65" s="2"/>
      <c r="B65" s="6"/>
      <c r="C65" s="1"/>
      <c r="D65" s="1"/>
      <c r="E65" s="1"/>
      <c r="F65" s="1"/>
      <c r="G65" s="1"/>
      <c r="H65" s="4"/>
    </row>
    <row r="66" spans="1:8" ht="15" customHeight="1" x14ac:dyDescent="0.25">
      <c r="A66" s="2"/>
      <c r="B66" s="1"/>
      <c r="C66" s="1"/>
      <c r="D66" s="1"/>
      <c r="E66" s="1"/>
      <c r="F66" s="1"/>
      <c r="G66" s="1"/>
      <c r="H66" s="8"/>
    </row>
    <row r="67" spans="1:8" ht="15" customHeight="1" x14ac:dyDescent="0.25">
      <c r="A67" s="2"/>
      <c r="B67" s="1"/>
      <c r="C67" s="1"/>
      <c r="D67" s="1"/>
      <c r="E67" s="1"/>
      <c r="F67" s="1"/>
      <c r="G67" s="1"/>
      <c r="H67" s="1"/>
    </row>
    <row r="68" spans="1:8" ht="15" customHeight="1" x14ac:dyDescent="0.25">
      <c r="A68" s="1"/>
      <c r="B68" s="7"/>
      <c r="C68" s="5"/>
      <c r="D68" s="5"/>
      <c r="E68" s="5"/>
      <c r="F68" s="5"/>
      <c r="G68" s="5"/>
      <c r="H68" s="3"/>
    </row>
    <row r="69" spans="1:8" ht="15" customHeight="1" x14ac:dyDescent="0.25">
      <c r="A69" s="2"/>
      <c r="B69" s="1"/>
      <c r="C69" s="1"/>
      <c r="D69" s="1"/>
      <c r="E69" s="1"/>
      <c r="F69" s="1"/>
      <c r="G69" s="1"/>
      <c r="H69" s="4"/>
    </row>
    <row r="70" spans="1:8" ht="15" customHeight="1" x14ac:dyDescent="0.25">
      <c r="A70" s="2"/>
      <c r="B70" s="1"/>
      <c r="C70" s="1"/>
      <c r="D70" s="1"/>
      <c r="E70" s="1"/>
      <c r="F70" s="1"/>
      <c r="G70" s="1"/>
      <c r="H70" s="8"/>
    </row>
    <row r="71" spans="1:8" ht="15" customHeight="1" x14ac:dyDescent="0.25">
      <c r="A71" s="1"/>
      <c r="B71" s="5"/>
      <c r="C71" s="5"/>
      <c r="D71" s="5"/>
      <c r="E71" s="5"/>
      <c r="F71" s="5"/>
      <c r="G71" s="5"/>
      <c r="H71" s="3"/>
    </row>
    <row r="72" spans="1:8" ht="15" customHeight="1" x14ac:dyDescent="0.25">
      <c r="A72" s="1"/>
      <c r="B72" s="5"/>
      <c r="C72" s="5"/>
      <c r="D72" s="5"/>
      <c r="E72" s="5"/>
      <c r="F72" s="5"/>
      <c r="G72" s="5"/>
      <c r="H72" s="3"/>
    </row>
    <row r="73" spans="1:8" ht="15" customHeight="1" x14ac:dyDescent="0.25">
      <c r="A73" s="2"/>
      <c r="B73" s="6"/>
      <c r="C73" s="1"/>
      <c r="D73" s="1"/>
      <c r="E73" s="1"/>
      <c r="F73" s="1"/>
      <c r="G73" s="1"/>
      <c r="H73" s="4"/>
    </row>
    <row r="74" spans="1:8" ht="15" customHeight="1" x14ac:dyDescent="0.25">
      <c r="A74" s="2"/>
      <c r="B74" s="6"/>
      <c r="C74" s="1"/>
      <c r="D74" s="1"/>
      <c r="E74" s="1"/>
      <c r="F74" s="1"/>
      <c r="G74" s="1"/>
      <c r="H74" s="9"/>
    </row>
    <row r="75" spans="1:8" ht="15" customHeight="1" x14ac:dyDescent="0.25">
      <c r="A75" s="1"/>
      <c r="B75" s="7"/>
      <c r="C75" s="5"/>
      <c r="D75" s="5"/>
      <c r="E75" s="5"/>
      <c r="F75" s="5"/>
      <c r="G75" s="5"/>
      <c r="H75" s="3"/>
    </row>
    <row r="76" spans="1:8" ht="15" customHeight="1" x14ac:dyDescent="0.25">
      <c r="A76" s="2"/>
      <c r="B76" s="6"/>
      <c r="C76" s="1"/>
      <c r="D76" s="1"/>
      <c r="E76" s="1"/>
      <c r="F76" s="1"/>
      <c r="G76" s="1"/>
      <c r="H76" s="4"/>
    </row>
    <row r="77" spans="1:8" ht="15" customHeight="1" x14ac:dyDescent="0.25">
      <c r="A77" s="2"/>
      <c r="B77" s="1"/>
      <c r="C77" s="1"/>
      <c r="D77" s="1"/>
      <c r="E77" s="1"/>
      <c r="F77" s="1"/>
      <c r="G77" s="1"/>
      <c r="H77" s="8"/>
    </row>
    <row r="78" spans="1:8" ht="15" customHeight="1" x14ac:dyDescent="0.25">
      <c r="A78" s="1"/>
      <c r="B78" s="5"/>
      <c r="C78" s="5"/>
      <c r="D78" s="5"/>
      <c r="E78" s="5"/>
      <c r="F78" s="5"/>
      <c r="G78" s="5"/>
      <c r="H78" s="3"/>
    </row>
    <row r="79" spans="1:8" ht="15" customHeight="1" x14ac:dyDescent="0.25">
      <c r="A79" s="2"/>
      <c r="B79" s="1"/>
      <c r="C79" s="1"/>
      <c r="D79" s="1"/>
      <c r="E79" s="1"/>
      <c r="F79" s="1"/>
      <c r="G79" s="1"/>
      <c r="H79" s="4"/>
    </row>
    <row r="80" spans="1:8" ht="15" customHeight="1" x14ac:dyDescent="0.25">
      <c r="A80" s="2"/>
      <c r="B80" s="1"/>
      <c r="C80" s="1"/>
      <c r="D80" s="1"/>
      <c r="E80" s="1"/>
      <c r="F80" s="1"/>
      <c r="G80" s="1"/>
      <c r="H80" s="1"/>
    </row>
    <row r="81" spans="1:8" ht="15" customHeight="1" x14ac:dyDescent="0.25">
      <c r="A81" s="1"/>
      <c r="B81" s="5"/>
      <c r="C81" s="5"/>
      <c r="D81" s="5"/>
      <c r="E81" s="5"/>
      <c r="F81" s="5"/>
      <c r="G81" s="5"/>
      <c r="H81" s="3"/>
    </row>
    <row r="82" spans="1:8" ht="15" customHeight="1" x14ac:dyDescent="0.25">
      <c r="A82" s="2"/>
      <c r="B82" s="1"/>
      <c r="C82" s="1"/>
      <c r="D82" s="1"/>
      <c r="E82" s="1"/>
      <c r="F82" s="1"/>
      <c r="G82" s="1"/>
      <c r="H82" s="4"/>
    </row>
    <row r="83" spans="1:8" ht="15" customHeight="1" x14ac:dyDescent="0.25">
      <c r="A83" s="2"/>
      <c r="B83" s="1"/>
      <c r="C83" s="1"/>
      <c r="D83" s="1"/>
      <c r="E83" s="1"/>
      <c r="F83" s="1"/>
      <c r="G83" s="1"/>
      <c r="H83" s="4"/>
    </row>
    <row r="84" spans="1:8" ht="15" customHeight="1" x14ac:dyDescent="0.25">
      <c r="A84" s="2"/>
      <c r="B84" s="1"/>
      <c r="C84" s="1"/>
      <c r="D84" s="1"/>
      <c r="E84" s="1"/>
      <c r="F84" s="1"/>
      <c r="G84" s="1"/>
      <c r="H84" s="4"/>
    </row>
    <row r="85" spans="1:8" ht="15" customHeight="1" x14ac:dyDescent="0.25">
      <c r="A85" s="2"/>
      <c r="B85" s="1"/>
      <c r="C85" s="1"/>
      <c r="D85" s="1"/>
      <c r="E85" s="1"/>
      <c r="F85" s="1"/>
      <c r="G85" s="1"/>
      <c r="H85" s="1"/>
    </row>
    <row r="86" spans="1:8" ht="15" customHeight="1" x14ac:dyDescent="0.25">
      <c r="A86" s="2"/>
      <c r="B86" s="1"/>
      <c r="C86" s="1"/>
      <c r="D86" s="1"/>
      <c r="E86" s="1"/>
      <c r="F86" s="1"/>
      <c r="G86" s="1"/>
      <c r="H86" s="1"/>
    </row>
    <row r="87" spans="1:8" ht="15" customHeight="1" x14ac:dyDescent="0.25">
      <c r="A87" s="2"/>
      <c r="B87" s="1"/>
      <c r="C87" s="1"/>
      <c r="D87" s="1"/>
      <c r="E87" s="1"/>
      <c r="F87" s="1"/>
      <c r="G87" s="1"/>
      <c r="H87" s="1"/>
    </row>
    <row r="88" spans="1:8" ht="15" customHeight="1" x14ac:dyDescent="0.25">
      <c r="A88" s="1"/>
      <c r="B88" s="5"/>
      <c r="C88" s="5"/>
      <c r="D88" s="5"/>
      <c r="E88" s="5"/>
      <c r="F88" s="5"/>
      <c r="G88" s="5"/>
      <c r="H88" s="3"/>
    </row>
    <row r="89" spans="1:8" ht="15" customHeight="1" x14ac:dyDescent="0.25">
      <c r="A89" s="1"/>
      <c r="B89" s="5"/>
      <c r="C89" s="5"/>
      <c r="D89" s="5"/>
      <c r="E89" s="5"/>
      <c r="F89" s="5"/>
      <c r="G89" s="5"/>
      <c r="H89" s="3"/>
    </row>
    <row r="90" spans="1:8" ht="15" customHeight="1" x14ac:dyDescent="0.25">
      <c r="A90" s="2"/>
      <c r="B90" s="1"/>
      <c r="C90" s="1"/>
      <c r="D90" s="1"/>
      <c r="E90" s="1"/>
      <c r="F90" s="1"/>
      <c r="G90" s="1"/>
      <c r="H90" s="4"/>
    </row>
    <row r="91" spans="1:8" ht="15" customHeight="1" x14ac:dyDescent="0.25">
      <c r="A91" s="2"/>
      <c r="B91" s="1"/>
      <c r="C91" s="1"/>
      <c r="D91" s="1"/>
      <c r="E91" s="1"/>
      <c r="F91" s="1"/>
      <c r="G91" s="1"/>
      <c r="H91" s="1"/>
    </row>
    <row r="92" spans="1:8" ht="15" customHeight="1" x14ac:dyDescent="0.25">
      <c r="A92" s="1"/>
      <c r="B92" s="5"/>
      <c r="C92" s="5"/>
      <c r="D92" s="5"/>
      <c r="E92" s="5"/>
      <c r="F92" s="5"/>
      <c r="G92" s="5"/>
      <c r="H92" s="3"/>
    </row>
    <row r="93" spans="1:8" ht="15" customHeight="1" x14ac:dyDescent="0.25">
      <c r="A93" s="2"/>
      <c r="B93" s="1"/>
      <c r="C93" s="1"/>
      <c r="D93" s="1"/>
      <c r="E93" s="1"/>
      <c r="F93" s="1"/>
      <c r="G93" s="1"/>
      <c r="H93" s="4"/>
    </row>
    <row r="94" spans="1:8" ht="15" customHeight="1" x14ac:dyDescent="0.25">
      <c r="A94" s="2"/>
      <c r="B94" s="1"/>
      <c r="C94" s="1"/>
      <c r="D94" s="1"/>
      <c r="E94" s="1"/>
      <c r="F94" s="1"/>
      <c r="G94" s="1"/>
      <c r="H94" s="4"/>
    </row>
    <row r="95" spans="1:8" ht="15" customHeight="1" x14ac:dyDescent="0.25">
      <c r="A95" s="2"/>
      <c r="B95" s="1"/>
      <c r="C95" s="1"/>
      <c r="D95" s="1"/>
      <c r="E95" s="1"/>
      <c r="F95" s="1"/>
      <c r="G95" s="1"/>
      <c r="H95" s="1"/>
    </row>
    <row r="96" spans="1:8" ht="15" customHeight="1" x14ac:dyDescent="0.25">
      <c r="A96" s="2"/>
      <c r="B96" s="1"/>
      <c r="C96" s="1"/>
      <c r="D96" s="1"/>
      <c r="E96" s="1"/>
      <c r="F96" s="1"/>
      <c r="G96" s="1"/>
      <c r="H96" s="1"/>
    </row>
    <row r="97" spans="1:8" ht="15" customHeight="1" x14ac:dyDescent="0.25">
      <c r="A97" s="1"/>
      <c r="B97" s="5"/>
      <c r="C97" s="5"/>
      <c r="D97" s="5"/>
      <c r="E97" s="5"/>
      <c r="F97" s="5"/>
      <c r="G97" s="5"/>
      <c r="H97" s="3"/>
    </row>
    <row r="98" spans="1:8" ht="15" customHeight="1" x14ac:dyDescent="0.25">
      <c r="A98" s="1"/>
      <c r="B98" s="5"/>
      <c r="C98" s="5"/>
      <c r="D98" s="5"/>
      <c r="E98" s="5"/>
      <c r="F98" s="5"/>
      <c r="G98" s="5"/>
      <c r="H98" s="3"/>
    </row>
    <row r="99" spans="1:8" ht="15" customHeight="1" x14ac:dyDescent="0.25">
      <c r="A99" s="2"/>
      <c r="B99" s="1"/>
      <c r="C99" s="1"/>
      <c r="D99" s="1"/>
      <c r="E99" s="1"/>
      <c r="F99" s="1"/>
      <c r="G99" s="1"/>
      <c r="H99" s="4"/>
    </row>
    <row r="100" spans="1:8" ht="15" customHeight="1" x14ac:dyDescent="0.25">
      <c r="A100" s="2"/>
      <c r="B100" s="1"/>
      <c r="C100" s="1"/>
      <c r="D100" s="1"/>
      <c r="E100" s="1"/>
      <c r="F100" s="1"/>
      <c r="G100" s="1"/>
      <c r="H100" s="1"/>
    </row>
    <row r="101" spans="1:8" ht="15" customHeight="1" x14ac:dyDescent="0.25">
      <c r="A101" s="1"/>
      <c r="B101" s="5"/>
      <c r="C101" s="5"/>
      <c r="D101" s="5"/>
      <c r="E101" s="5"/>
      <c r="F101" s="5"/>
      <c r="G101" s="5"/>
      <c r="H101" s="3"/>
    </row>
    <row r="102" spans="1:8" ht="15" customHeight="1" x14ac:dyDescent="0.25">
      <c r="A102" s="2"/>
      <c r="B102" s="1"/>
      <c r="C102" s="1"/>
      <c r="D102" s="1"/>
      <c r="E102" s="1"/>
      <c r="F102" s="1"/>
      <c r="G102" s="1"/>
      <c r="H102" s="4"/>
    </row>
    <row r="103" spans="1:8" ht="15" customHeight="1" x14ac:dyDescent="0.25">
      <c r="A103" s="2"/>
      <c r="B103" s="1"/>
      <c r="C103" s="1"/>
      <c r="D103" s="1"/>
      <c r="E103" s="1"/>
      <c r="F103" s="1"/>
      <c r="G103" s="1"/>
      <c r="H103" s="4"/>
    </row>
    <row r="104" spans="1:8" ht="15" customHeight="1" x14ac:dyDescent="0.25">
      <c r="A104" s="2"/>
      <c r="B104" s="1"/>
      <c r="C104" s="1"/>
      <c r="D104" s="1"/>
      <c r="E104" s="1"/>
      <c r="F104" s="1"/>
      <c r="G104" s="1"/>
      <c r="H104" s="4"/>
    </row>
    <row r="105" spans="1:8" ht="15" customHeight="1" x14ac:dyDescent="0.25">
      <c r="A105" s="2"/>
      <c r="B105" s="1"/>
      <c r="C105" s="1"/>
      <c r="D105" s="1"/>
      <c r="E105" s="1"/>
      <c r="F105" s="1"/>
      <c r="G105" s="1"/>
      <c r="H105" s="1"/>
    </row>
    <row r="106" spans="1:8" ht="15" customHeight="1" x14ac:dyDescent="0.25">
      <c r="A106" s="2"/>
      <c r="B106" s="1"/>
      <c r="C106" s="1"/>
      <c r="D106" s="1"/>
      <c r="E106" s="1"/>
      <c r="F106" s="1"/>
      <c r="G106" s="1"/>
      <c r="H106" s="1"/>
    </row>
    <row r="107" spans="1:8" ht="15" customHeight="1" x14ac:dyDescent="0.25">
      <c r="A107" s="2"/>
      <c r="B107" s="1"/>
      <c r="C107" s="1"/>
      <c r="D107" s="1"/>
      <c r="E107" s="1"/>
      <c r="F107" s="1"/>
      <c r="G107" s="1"/>
      <c r="H107" s="1"/>
    </row>
    <row r="108" spans="1:8" ht="15" customHeight="1" x14ac:dyDescent="0.25">
      <c r="A108" s="1"/>
      <c r="B108" s="5"/>
      <c r="C108" s="5"/>
      <c r="D108" s="5"/>
      <c r="E108" s="5"/>
      <c r="F108" s="5"/>
      <c r="G108" s="5"/>
      <c r="H108" s="3"/>
    </row>
    <row r="109" spans="1:8" ht="15" customHeight="1" x14ac:dyDescent="0.25">
      <c r="A109" s="1"/>
      <c r="B109" s="5"/>
      <c r="C109" s="5"/>
      <c r="D109" s="5"/>
      <c r="E109" s="5"/>
      <c r="F109" s="5"/>
      <c r="G109" s="5"/>
      <c r="H109" s="3"/>
    </row>
    <row r="110" spans="1:8" ht="15" customHeight="1" x14ac:dyDescent="0.25">
      <c r="A110" s="2"/>
      <c r="B110" s="1"/>
      <c r="C110" s="1"/>
      <c r="D110" s="1"/>
      <c r="E110" s="1"/>
      <c r="F110" s="1"/>
      <c r="G110" s="1"/>
      <c r="H110" s="4"/>
    </row>
    <row r="111" spans="1:8" ht="15" customHeight="1" x14ac:dyDescent="0.25">
      <c r="A111" s="2"/>
      <c r="B111" s="1"/>
      <c r="C111" s="1"/>
      <c r="D111" s="1"/>
      <c r="E111" s="1"/>
      <c r="F111" s="1"/>
      <c r="G111" s="1"/>
      <c r="H111" s="1"/>
    </row>
    <row r="112" spans="1:8" ht="15" customHeight="1" x14ac:dyDescent="0.25">
      <c r="A112" s="1"/>
      <c r="B112" s="5"/>
      <c r="C112" s="5"/>
      <c r="D112" s="5"/>
      <c r="E112" s="5"/>
      <c r="F112" s="5"/>
      <c r="G112" s="5"/>
      <c r="H112" s="3"/>
    </row>
    <row r="113" spans="1:8" ht="15" customHeight="1" x14ac:dyDescent="0.25">
      <c r="A113" s="1"/>
      <c r="B113" s="5"/>
      <c r="C113" s="5"/>
      <c r="D113" s="5"/>
      <c r="E113" s="5"/>
      <c r="F113" s="5"/>
      <c r="G113" s="5"/>
      <c r="H113" s="3"/>
    </row>
    <row r="114" spans="1:8" ht="15" customHeight="1" x14ac:dyDescent="0.25">
      <c r="A114" s="2"/>
      <c r="B114" s="1"/>
      <c r="C114" s="1"/>
      <c r="D114" s="1"/>
      <c r="E114" s="1"/>
      <c r="F114" s="1"/>
      <c r="G114" s="1"/>
      <c r="H114" s="4"/>
    </row>
    <row r="115" spans="1:8" ht="15" customHeight="1" x14ac:dyDescent="0.25">
      <c r="A115" s="2"/>
      <c r="B115" s="1"/>
      <c r="C115" s="1"/>
      <c r="D115" s="1"/>
      <c r="E115" s="1"/>
      <c r="F115" s="1"/>
      <c r="G115" s="1"/>
      <c r="H115" s="1"/>
    </row>
    <row r="116" spans="1:8" ht="15" customHeight="1" x14ac:dyDescent="0.25">
      <c r="A116" s="1"/>
      <c r="B116" s="5"/>
      <c r="C116" s="5"/>
      <c r="D116" s="5"/>
      <c r="E116" s="5"/>
      <c r="F116" s="5"/>
      <c r="G116" s="5"/>
      <c r="H116" s="3"/>
    </row>
    <row r="117" spans="1:8" ht="15" customHeight="1" x14ac:dyDescent="0.25">
      <c r="A117" s="2"/>
      <c r="B117" s="1"/>
      <c r="C117" s="1"/>
      <c r="D117" s="1"/>
      <c r="E117" s="1"/>
      <c r="F117" s="1"/>
      <c r="G117" s="1"/>
      <c r="H117" s="4"/>
    </row>
    <row r="118" spans="1:8" ht="15" customHeight="1" x14ac:dyDescent="0.25">
      <c r="A118" s="2"/>
      <c r="B118" s="1"/>
      <c r="C118" s="1"/>
      <c r="D118" s="1"/>
      <c r="E118" s="1"/>
      <c r="F118" s="1"/>
      <c r="G118" s="1"/>
      <c r="H118" s="4"/>
    </row>
    <row r="119" spans="1:8" ht="15" customHeight="1" x14ac:dyDescent="0.25">
      <c r="A119" s="2"/>
      <c r="B119" s="1"/>
      <c r="C119" s="1"/>
      <c r="D119" s="1"/>
      <c r="E119" s="1"/>
      <c r="F119" s="1"/>
      <c r="G119" s="1"/>
      <c r="H119" s="4"/>
    </row>
    <row r="120" spans="1:8" ht="15" customHeight="1" x14ac:dyDescent="0.25">
      <c r="A120" s="2"/>
      <c r="B120" s="1"/>
      <c r="C120" s="1"/>
      <c r="D120" s="1"/>
      <c r="E120" s="1"/>
      <c r="F120" s="1"/>
      <c r="G120" s="1"/>
      <c r="H120" s="1"/>
    </row>
    <row r="121" spans="1:8" ht="15" customHeight="1" x14ac:dyDescent="0.25">
      <c r="A121" s="1"/>
      <c r="B121" s="5"/>
      <c r="C121" s="5"/>
      <c r="D121" s="5"/>
      <c r="E121" s="5"/>
      <c r="F121" s="5"/>
      <c r="G121" s="5"/>
      <c r="H121" s="3"/>
    </row>
    <row r="122" spans="1:8" ht="15" customHeight="1" x14ac:dyDescent="0.25">
      <c r="A122" s="1"/>
      <c r="B122" s="5"/>
      <c r="C122" s="5"/>
      <c r="D122" s="5"/>
      <c r="E122" s="5"/>
      <c r="F122" s="5"/>
      <c r="G122" s="5"/>
      <c r="H122" s="3"/>
    </row>
    <row r="123" spans="1:8" ht="15" customHeight="1" x14ac:dyDescent="0.25">
      <c r="A123" s="1"/>
      <c r="B123" s="5"/>
      <c r="C123" s="5"/>
      <c r="D123" s="5"/>
      <c r="E123" s="5"/>
      <c r="F123" s="5"/>
      <c r="G123" s="5"/>
      <c r="H123" s="3"/>
    </row>
    <row r="124" spans="1:8" ht="15" customHeight="1" x14ac:dyDescent="0.25">
      <c r="A124" s="2"/>
      <c r="B124" s="1"/>
      <c r="C124" s="1"/>
      <c r="D124" s="1"/>
      <c r="E124" s="1"/>
      <c r="F124" s="1"/>
      <c r="G124" s="1"/>
      <c r="H124" s="4"/>
    </row>
    <row r="125" spans="1:8" ht="1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" customHeight="1" x14ac:dyDescent="0.2">
      <c r="A127" s="61"/>
      <c r="B127" s="55"/>
      <c r="C127" s="55"/>
      <c r="D127" s="55"/>
      <c r="E127" s="55"/>
      <c r="F127" s="55"/>
      <c r="G127" s="55"/>
      <c r="H127" s="55"/>
    </row>
    <row r="128" spans="1: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I1"/>
    <mergeCell ref="A2:I2"/>
    <mergeCell ref="A3:I3"/>
    <mergeCell ref="A127:H127"/>
  </mergeCells>
  <printOptions gridLines="1"/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2"/>
  <sheetViews>
    <sheetView zoomScale="106" workbookViewId="0">
      <selection sqref="A1:J32"/>
    </sheetView>
  </sheetViews>
  <sheetFormatPr defaultColWidth="12.625" defaultRowHeight="15" customHeight="1" x14ac:dyDescent="0.2"/>
  <cols>
    <col min="1" max="1" width="2.375" customWidth="1"/>
    <col min="2" max="2" width="7.375" customWidth="1"/>
    <col min="3" max="3" width="58.375" customWidth="1"/>
    <col min="4" max="4" width="12.875" customWidth="1"/>
    <col min="5" max="5" width="11.375" customWidth="1"/>
    <col min="6" max="6" width="10.875" customWidth="1"/>
    <col min="7" max="7" width="14.625" customWidth="1"/>
    <col min="8" max="26" width="7.625" customWidth="1"/>
  </cols>
  <sheetData>
    <row r="1" spans="1:26" ht="15.75" x14ac:dyDescent="0.25">
      <c r="A1" s="38"/>
      <c r="B1" s="38"/>
      <c r="C1" s="39" t="s">
        <v>0</v>
      </c>
      <c r="D1" s="14"/>
      <c r="E1" s="14"/>
      <c r="F1" s="14"/>
      <c r="G1" s="14"/>
      <c r="H1" s="15"/>
    </row>
    <row r="2" spans="1:26" ht="15.75" x14ac:dyDescent="0.25">
      <c r="A2" s="38"/>
      <c r="B2" s="38"/>
      <c r="C2" s="39" t="s">
        <v>221</v>
      </c>
      <c r="D2" s="14"/>
      <c r="E2" s="14"/>
      <c r="F2" s="14"/>
      <c r="G2" s="14"/>
      <c r="H2" s="15"/>
    </row>
    <row r="3" spans="1:26" ht="15.75" x14ac:dyDescent="0.25">
      <c r="A3" s="38"/>
      <c r="B3" s="38"/>
      <c r="C3" s="39" t="s">
        <v>435</v>
      </c>
      <c r="D3" s="40">
        <v>44562</v>
      </c>
      <c r="E3" s="41" t="s">
        <v>304</v>
      </c>
      <c r="F3" s="41" t="s">
        <v>305</v>
      </c>
      <c r="G3" s="41"/>
      <c r="H3" s="15"/>
    </row>
    <row r="4" spans="1:26" ht="15.75" x14ac:dyDescent="0.25">
      <c r="A4" s="37"/>
      <c r="B4" s="37"/>
      <c r="C4" s="37"/>
      <c r="D4" s="41" t="s">
        <v>306</v>
      </c>
      <c r="E4" s="41" t="s">
        <v>307</v>
      </c>
      <c r="F4" s="41" t="s">
        <v>308</v>
      </c>
      <c r="G4" s="41" t="s">
        <v>309</v>
      </c>
      <c r="H4" s="15"/>
    </row>
    <row r="5" spans="1:26" ht="15.75" x14ac:dyDescent="0.25">
      <c r="A5" s="37"/>
      <c r="B5" s="37">
        <v>11101</v>
      </c>
      <c r="C5" s="37" t="s">
        <v>222</v>
      </c>
      <c r="D5" s="14"/>
      <c r="E5" s="14"/>
      <c r="F5" s="14">
        <f>97.75+16.28+3.41+24.48</f>
        <v>141.91999999999999</v>
      </c>
      <c r="G5" s="14">
        <v>27387.94</v>
      </c>
      <c r="H5" s="15"/>
    </row>
    <row r="6" spans="1:26" ht="15.75" x14ac:dyDescent="0.25">
      <c r="A6" s="37"/>
      <c r="B6" s="37">
        <v>11102</v>
      </c>
      <c r="C6" s="37" t="s">
        <v>223</v>
      </c>
      <c r="D6" s="14"/>
      <c r="E6" s="14"/>
      <c r="F6" s="14">
        <f>396.18+379.68+645.42+942.62</f>
        <v>2363.9</v>
      </c>
      <c r="G6" s="14">
        <v>546623.31999999995</v>
      </c>
      <c r="H6" s="15"/>
    </row>
    <row r="7" spans="1:26" ht="15.75" x14ac:dyDescent="0.25">
      <c r="A7" s="37"/>
      <c r="B7" s="37">
        <v>11103</v>
      </c>
      <c r="C7" s="37" t="s">
        <v>224</v>
      </c>
      <c r="D7" s="14"/>
      <c r="E7" s="14"/>
      <c r="F7" s="14">
        <f>433.9+197.92+453.4+578.88</f>
        <v>1664.1</v>
      </c>
      <c r="G7" s="14">
        <v>294407.34999999998</v>
      </c>
      <c r="H7" s="15"/>
    </row>
    <row r="8" spans="1:26" ht="15.75" x14ac:dyDescent="0.25">
      <c r="A8" s="42"/>
      <c r="B8" s="42"/>
      <c r="C8" s="42" t="s">
        <v>225</v>
      </c>
      <c r="D8" s="16"/>
      <c r="E8" s="16"/>
      <c r="F8" s="16">
        <f>SUM(F5:F7)</f>
        <v>4169.92</v>
      </c>
      <c r="G8" s="16">
        <f>SUM(G5:G7)</f>
        <v>868418.60999999987</v>
      </c>
      <c r="H8" s="15"/>
    </row>
    <row r="9" spans="1:26" ht="15.75" x14ac:dyDescent="0.25">
      <c r="A9" s="37"/>
      <c r="B9" s="37"/>
      <c r="C9" s="42" t="s">
        <v>226</v>
      </c>
      <c r="D9" s="14"/>
      <c r="E9" s="14"/>
      <c r="F9" s="14"/>
      <c r="G9" s="14"/>
      <c r="H9" s="15"/>
    </row>
    <row r="10" spans="1:26" s="24" customFormat="1" ht="15.75" x14ac:dyDescent="0.25">
      <c r="A10" s="37"/>
      <c r="B10" s="37">
        <v>21120</v>
      </c>
      <c r="C10" s="37" t="s">
        <v>227</v>
      </c>
      <c r="D10" s="14">
        <v>6500</v>
      </c>
      <c r="E10" s="14"/>
      <c r="F10" s="14"/>
      <c r="G10" s="14">
        <f>D10-E10+F10</f>
        <v>6500</v>
      </c>
      <c r="H10" s="15"/>
    </row>
    <row r="11" spans="1:26" ht="15.75" x14ac:dyDescent="0.25">
      <c r="A11" s="37"/>
      <c r="B11" s="37">
        <v>21121</v>
      </c>
      <c r="C11" s="37" t="s">
        <v>265</v>
      </c>
      <c r="D11" s="14">
        <v>10000</v>
      </c>
      <c r="E11" s="14"/>
      <c r="F11" s="14"/>
      <c r="G11" s="14">
        <f t="shared" ref="G11:G27" si="0">D11-E11+F11</f>
        <v>10000</v>
      </c>
      <c r="H11" s="15"/>
    </row>
    <row r="12" spans="1:26" ht="15.75" x14ac:dyDescent="0.25">
      <c r="A12" s="37"/>
      <c r="B12" s="37">
        <v>21125</v>
      </c>
      <c r="C12" s="37" t="s">
        <v>228</v>
      </c>
      <c r="D12" s="14">
        <v>1824.13</v>
      </c>
      <c r="E12" s="14"/>
      <c r="F12" s="14">
        <v>2842.07</v>
      </c>
      <c r="G12" s="14">
        <f t="shared" si="0"/>
        <v>4666.2000000000007</v>
      </c>
      <c r="H12" s="15" t="s">
        <v>269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35" customFormat="1" ht="15.75" x14ac:dyDescent="0.25">
      <c r="A13" s="37"/>
      <c r="B13" s="37">
        <v>21126</v>
      </c>
      <c r="C13" s="37" t="s">
        <v>292</v>
      </c>
      <c r="D13" s="14">
        <v>0</v>
      </c>
      <c r="E13" s="14"/>
      <c r="F13" s="14">
        <v>3650.65</v>
      </c>
      <c r="G13" s="14">
        <f t="shared" si="0"/>
        <v>3650.65</v>
      </c>
      <c r="H13" s="15" t="s">
        <v>269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x14ac:dyDescent="0.25">
      <c r="A14" s="37"/>
      <c r="B14" s="37">
        <v>21127</v>
      </c>
      <c r="C14" s="37" t="s">
        <v>229</v>
      </c>
      <c r="D14" s="14">
        <v>6652.84</v>
      </c>
      <c r="E14" s="14">
        <v>3119.62</v>
      </c>
      <c r="F14" s="14">
        <f>1500+50</f>
        <v>1550</v>
      </c>
      <c r="G14" s="14">
        <f t="shared" si="0"/>
        <v>5083.22</v>
      </c>
      <c r="H14" s="15" t="s">
        <v>296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x14ac:dyDescent="0.25">
      <c r="A15" s="43"/>
      <c r="B15" s="37">
        <v>21131</v>
      </c>
      <c r="C15" s="37" t="s">
        <v>266</v>
      </c>
      <c r="D15" s="14">
        <v>65731.850000000006</v>
      </c>
      <c r="E15" s="14">
        <f>16621.97+6527.4+4351.6</f>
        <v>27500.97</v>
      </c>
      <c r="F15" s="14">
        <v>65731.850000000006</v>
      </c>
      <c r="G15" s="14">
        <f t="shared" si="0"/>
        <v>103962.73000000001</v>
      </c>
      <c r="H15" s="17" t="s">
        <v>291</v>
      </c>
    </row>
    <row r="16" spans="1:26" ht="15.75" x14ac:dyDescent="0.25">
      <c r="A16" s="37"/>
      <c r="B16" s="37">
        <v>21128</v>
      </c>
      <c r="C16" s="37" t="s">
        <v>230</v>
      </c>
      <c r="D16" s="14">
        <v>40000</v>
      </c>
      <c r="E16" s="14"/>
      <c r="F16" s="14"/>
      <c r="G16" s="14">
        <f t="shared" si="0"/>
        <v>40000</v>
      </c>
      <c r="H16" s="15"/>
    </row>
    <row r="17" spans="1:26" ht="15.75" x14ac:dyDescent="0.25">
      <c r="A17" s="37"/>
      <c r="B17" s="37">
        <v>21130</v>
      </c>
      <c r="C17" s="37" t="s">
        <v>231</v>
      </c>
      <c r="D17" s="14">
        <v>255</v>
      </c>
      <c r="E17" s="14"/>
      <c r="F17" s="14"/>
      <c r="G17" s="14">
        <f t="shared" si="0"/>
        <v>255</v>
      </c>
      <c r="H17" s="15"/>
    </row>
    <row r="18" spans="1:26" ht="15.75" x14ac:dyDescent="0.25">
      <c r="A18" s="37"/>
      <c r="B18" s="37">
        <v>21160</v>
      </c>
      <c r="C18" s="37" t="s">
        <v>232</v>
      </c>
      <c r="D18" s="14">
        <v>25000</v>
      </c>
      <c r="E18" s="14"/>
      <c r="F18" s="14"/>
      <c r="G18" s="14">
        <f t="shared" si="0"/>
        <v>25000</v>
      </c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37"/>
      <c r="B19" s="37">
        <v>21161</v>
      </c>
      <c r="C19" s="37" t="s">
        <v>267</v>
      </c>
      <c r="D19" s="14">
        <v>61000</v>
      </c>
      <c r="E19" s="14">
        <v>17890.240000000002</v>
      </c>
      <c r="F19" s="14">
        <v>50000</v>
      </c>
      <c r="G19" s="14">
        <f t="shared" si="0"/>
        <v>93109.759999999995</v>
      </c>
      <c r="H19" s="15" t="s">
        <v>268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37"/>
      <c r="B20" s="37">
        <v>21162</v>
      </c>
      <c r="C20" s="37" t="s">
        <v>233</v>
      </c>
      <c r="D20" s="14">
        <v>0</v>
      </c>
      <c r="E20" s="14"/>
      <c r="F20" s="14"/>
      <c r="G20" s="14">
        <f t="shared" si="0"/>
        <v>0</v>
      </c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43"/>
      <c r="B21" s="37">
        <v>21170</v>
      </c>
      <c r="C21" s="37" t="s">
        <v>234</v>
      </c>
      <c r="D21" s="14">
        <v>17922.34</v>
      </c>
      <c r="E21" s="14"/>
      <c r="F21" s="14"/>
      <c r="G21" s="14">
        <f t="shared" si="0"/>
        <v>17922.34</v>
      </c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37"/>
      <c r="B22" s="37">
        <v>21174</v>
      </c>
      <c r="C22" s="37" t="s">
        <v>235</v>
      </c>
      <c r="D22" s="14">
        <v>9430</v>
      </c>
      <c r="E22" s="14"/>
      <c r="F22" s="14"/>
      <c r="G22" s="14">
        <f t="shared" si="0"/>
        <v>9430</v>
      </c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.75" customHeight="1" x14ac:dyDescent="0.25">
      <c r="A23" s="37"/>
      <c r="B23" s="37">
        <v>21175</v>
      </c>
      <c r="C23" s="37" t="s">
        <v>248</v>
      </c>
      <c r="D23" s="14">
        <v>0</v>
      </c>
      <c r="E23" s="14"/>
      <c r="F23" s="44"/>
      <c r="G23" s="14">
        <f t="shared" si="0"/>
        <v>0</v>
      </c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7"/>
      <c r="B24" s="37">
        <v>21176</v>
      </c>
      <c r="C24" s="37" t="s">
        <v>236</v>
      </c>
      <c r="D24" s="14">
        <v>164748.75</v>
      </c>
      <c r="E24" s="14">
        <v>0</v>
      </c>
      <c r="G24" s="14">
        <f t="shared" si="0"/>
        <v>164748.75</v>
      </c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37"/>
      <c r="B25" s="37">
        <v>21178</v>
      </c>
      <c r="C25" s="37" t="s">
        <v>249</v>
      </c>
      <c r="D25" s="14">
        <v>0</v>
      </c>
      <c r="E25" s="14"/>
      <c r="F25" s="14"/>
      <c r="G25" s="14">
        <f t="shared" si="0"/>
        <v>0</v>
      </c>
      <c r="H25" s="15"/>
    </row>
    <row r="26" spans="1:26" ht="15.75" x14ac:dyDescent="0.25">
      <c r="A26" s="37"/>
      <c r="B26" s="37">
        <v>21180</v>
      </c>
      <c r="C26" s="37" t="s">
        <v>237</v>
      </c>
      <c r="D26" s="14">
        <v>15008</v>
      </c>
      <c r="E26" s="14"/>
      <c r="F26" s="14"/>
      <c r="G26" s="14">
        <f t="shared" si="0"/>
        <v>15008</v>
      </c>
      <c r="H26" s="1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25">
      <c r="A27" s="37"/>
      <c r="B27" s="37">
        <v>21181</v>
      </c>
      <c r="C27" s="37" t="s">
        <v>238</v>
      </c>
      <c r="D27" s="14">
        <v>35000</v>
      </c>
      <c r="E27" s="14"/>
      <c r="F27" s="14"/>
      <c r="G27" s="14">
        <f t="shared" si="0"/>
        <v>35000</v>
      </c>
      <c r="H27" s="1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7"/>
      <c r="B28" s="37" t="s">
        <v>239</v>
      </c>
      <c r="C28" s="37"/>
      <c r="D28" s="14"/>
      <c r="E28" s="14"/>
      <c r="F28" s="14"/>
      <c r="G28" s="14">
        <f>SUM(G10:G27)</f>
        <v>534336.65</v>
      </c>
    </row>
    <row r="29" spans="1:26" ht="15.75" customHeight="1" x14ac:dyDescent="0.25">
      <c r="A29" s="1"/>
      <c r="B29" s="1"/>
      <c r="C29" s="1"/>
      <c r="D29" s="10"/>
      <c r="E29" s="10"/>
      <c r="F29" s="10"/>
      <c r="G29" s="10"/>
    </row>
    <row r="30" spans="1:26" ht="15" hidden="1" customHeight="1" x14ac:dyDescent="0.25">
      <c r="A30" s="11"/>
      <c r="B30" s="11"/>
      <c r="C30" s="11"/>
      <c r="D30" s="12"/>
      <c r="E30" s="12"/>
      <c r="F30" s="12"/>
      <c r="G30" s="1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 x14ac:dyDescent="0.25">
      <c r="A31" s="1"/>
      <c r="B31" s="1"/>
      <c r="C31" s="1"/>
      <c r="D31" s="10"/>
      <c r="E31" s="10"/>
      <c r="F31" s="10"/>
      <c r="G31" s="10"/>
    </row>
    <row r="32" spans="1:26" ht="15.75" customHeight="1" x14ac:dyDescent="0.25">
      <c r="C32" s="11"/>
    </row>
    <row r="33" spans="3:3" ht="15.75" customHeight="1" x14ac:dyDescent="0.25">
      <c r="C33" s="13" t="s">
        <v>240</v>
      </c>
    </row>
    <row r="34" spans="3:3" ht="15.75" customHeight="1" x14ac:dyDescent="0.2"/>
    <row r="35" spans="3:3" ht="15.75" customHeight="1" x14ac:dyDescent="0.2"/>
    <row r="36" spans="3:3" ht="15.75" customHeight="1" x14ac:dyDescent="0.2"/>
    <row r="37" spans="3:3" ht="15.75" customHeight="1" x14ac:dyDescent="0.2"/>
    <row r="38" spans="3:3" ht="15.75" customHeight="1" x14ac:dyDescent="0.2"/>
    <row r="39" spans="3:3" ht="15.75" customHeight="1" x14ac:dyDescent="0.2"/>
    <row r="40" spans="3:3" ht="15.75" customHeight="1" x14ac:dyDescent="0.2"/>
    <row r="41" spans="3:3" ht="15.75" customHeight="1" x14ac:dyDescent="0.2"/>
    <row r="42" spans="3:3" ht="15.75" customHeight="1" x14ac:dyDescent="0.2"/>
    <row r="43" spans="3:3" ht="15.75" customHeight="1" x14ac:dyDescent="0.2"/>
    <row r="44" spans="3:3" ht="15.75" customHeight="1" x14ac:dyDescent="0.2"/>
    <row r="45" spans="3:3" ht="15.75" customHeight="1" x14ac:dyDescent="0.2"/>
    <row r="46" spans="3:3" ht="15.75" customHeight="1" x14ac:dyDescent="0.2"/>
    <row r="47" spans="3:3" ht="15.75" customHeight="1" x14ac:dyDescent="0.2"/>
    <row r="48" spans="3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printOptions gridLines="1"/>
  <pageMargins left="0.45" right="0.2" top="0.5" bottom="0.5" header="0" footer="0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 to Budget</vt:lpstr>
      <vt:lpstr>Transaction Rpt by Date</vt:lpstr>
      <vt:lpstr>Profit_Loss Trans Rpt</vt:lpstr>
      <vt:lpstr>Journal Entries</vt:lpstr>
      <vt:lpstr> Fund Balances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Mitchell</dc:creator>
  <cp:lastModifiedBy>Kathy Mitchell</cp:lastModifiedBy>
  <cp:lastPrinted>2022-11-01T15:41:35Z</cp:lastPrinted>
  <dcterms:created xsi:type="dcterms:W3CDTF">2018-11-02T18:13:25Z</dcterms:created>
  <dcterms:modified xsi:type="dcterms:W3CDTF">2022-11-01T15:41:40Z</dcterms:modified>
</cp:coreProperties>
</file>